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autoCompressPictures="0"/>
  <bookViews>
    <workbookView xWindow="-15" yWindow="5520" windowWidth="19230" windowHeight="5580" tabRatio="735" activeTab="1"/>
  </bookViews>
  <sheets>
    <sheet name="Index" sheetId="1" r:id="rId1"/>
    <sheet name="Inputs" sheetId="2" r:id="rId2"/>
    <sheet name="Allowed revenue -DPCR4" sheetId="3" r:id="rId3"/>
    <sheet name="FBPQ T4" sheetId="4" r:id="rId4"/>
    <sheet name="FBPQ LR1" sheetId="5" r:id="rId5"/>
    <sheet name="FBPQ LR1 - V5 opt3" sheetId="6" r:id="rId6"/>
    <sheet name="FBPQ LR4" sheetId="7" r:id="rId7"/>
    <sheet name="FBPQ LR6" sheetId="8" r:id="rId8"/>
    <sheet name="FBPQ NL1" sheetId="9" r:id="rId9"/>
    <sheet name="NL9 - Legal &amp; Safety" sheetId="10" r:id="rId10"/>
    <sheet name="FBPQ C2" sheetId="11" r:id="rId11"/>
    <sheet name="Reductions to net capex" sheetId="12" r:id="rId12"/>
    <sheet name="RRP 1.3" sheetId="13" r:id="rId13"/>
    <sheet name="RRP 2.3" sheetId="14" r:id="rId14"/>
    <sheet name="RRP 2.4" sheetId="15" r:id="rId15"/>
    <sheet name="RRP 2.6" sheetId="16" r:id="rId16"/>
    <sheet name="RRP 5.1" sheetId="28" r:id="rId17"/>
    <sheet name="Summary of revenue" sheetId="18" r:id="rId18"/>
    <sheet name="Data-MEAV" sheetId="19" r:id="rId19"/>
    <sheet name="Calc-MEAV" sheetId="20" r:id="rId20"/>
    <sheet name="Calc-Units" sheetId="21" r:id="rId21"/>
    <sheet name="Calc-Net capex" sheetId="22" r:id="rId22"/>
    <sheet name="Calc-Opex" sheetId="23" r:id="rId23"/>
    <sheet name="Calc-Drivers" sheetId="24" r:id="rId24"/>
    <sheet name="Calc-Allocation" sheetId="25" r:id="rId25"/>
    <sheet name="Calc-Summary" sheetId="26" r:id="rId26"/>
    <sheet name="CDCM discounts" sheetId="27" r:id="rId27"/>
  </sheets>
  <definedNames>
    <definedName name="_xlnm._FilterDatabase" localSheetId="0" hidden="1">Index!$A$9:$C$39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V137" i="10" l="1"/>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P129" i="10"/>
  <c r="N129" i="10"/>
  <c r="M129" i="10"/>
  <c r="L129" i="10"/>
  <c r="H129" i="10"/>
  <c r="F129" i="10"/>
  <c r="E129" i="10"/>
  <c r="D129" i="10"/>
  <c r="S128" i="10"/>
  <c r="K128" i="10"/>
  <c r="C128" i="10"/>
  <c r="S127" i="10"/>
  <c r="K127" i="10"/>
  <c r="C127" i="10"/>
  <c r="S126" i="10"/>
  <c r="K126" i="10"/>
  <c r="C126" i="10"/>
  <c r="S125" i="10"/>
  <c r="K125" i="10"/>
  <c r="C125" i="10"/>
  <c r="X120" i="10"/>
  <c r="W120" i="10"/>
  <c r="V120" i="10"/>
  <c r="U120" i="10"/>
  <c r="T120" i="10"/>
  <c r="S120" i="10"/>
  <c r="P120" i="10"/>
  <c r="O120" i="10"/>
  <c r="N120" i="10"/>
  <c r="M120" i="10"/>
  <c r="L120" i="10"/>
  <c r="K120" i="10"/>
  <c r="H120" i="10"/>
  <c r="F120" i="10"/>
  <c r="E120" i="10"/>
  <c r="D120" i="10"/>
  <c r="C120" i="10"/>
  <c r="X111" i="10"/>
  <c r="W111" i="10"/>
  <c r="V111" i="10"/>
  <c r="U111" i="10"/>
  <c r="T111" i="10"/>
  <c r="P111" i="10"/>
  <c r="O111" i="10"/>
  <c r="N111" i="10"/>
  <c r="M111" i="10"/>
  <c r="L111" i="10"/>
  <c r="H111" i="10"/>
  <c r="G111" i="10"/>
  <c r="F111" i="10"/>
  <c r="E111" i="10"/>
  <c r="D111" i="10"/>
  <c r="S110" i="10"/>
  <c r="G100" i="10" s="1"/>
  <c r="K110" i="10"/>
  <c r="F100" i="10" s="1"/>
  <c r="C110" i="10"/>
  <c r="S109" i="10"/>
  <c r="G99" i="10" s="1"/>
  <c r="K109" i="10"/>
  <c r="F99" i="10" s="1"/>
  <c r="C109" i="10"/>
  <c r="D99" i="10" s="1"/>
  <c r="C99" i="10" s="1"/>
  <c r="S108" i="10"/>
  <c r="K108" i="10"/>
  <c r="C108" i="10"/>
  <c r="D98" i="10" s="1"/>
  <c r="C98" i="10" s="1"/>
  <c r="S107" i="10"/>
  <c r="G97" i="10" s="1"/>
  <c r="K107" i="10"/>
  <c r="C107" i="10"/>
  <c r="D97" i="10" s="1"/>
  <c r="E101" i="10"/>
  <c r="D100" i="10"/>
  <c r="C100" i="10" s="1"/>
  <c r="G98" i="10"/>
  <c r="F97" i="10"/>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P83" i="10"/>
  <c r="O83" i="10"/>
  <c r="N83" i="10"/>
  <c r="M83" i="10"/>
  <c r="L83" i="10"/>
  <c r="H83" i="10"/>
  <c r="G83" i="10"/>
  <c r="F83" i="10"/>
  <c r="E83" i="10"/>
  <c r="D83" i="10"/>
  <c r="S82" i="10"/>
  <c r="K82" i="10"/>
  <c r="C82" i="10"/>
  <c r="S81" i="10"/>
  <c r="K81" i="10"/>
  <c r="C81" i="10"/>
  <c r="S80" i="10"/>
  <c r="K80" i="10"/>
  <c r="C80" i="10"/>
  <c r="S79" i="10"/>
  <c r="K79" i="10"/>
  <c r="C79" i="10"/>
  <c r="X74" i="10"/>
  <c r="W74" i="10"/>
  <c r="V74" i="10"/>
  <c r="U74" i="10"/>
  <c r="T74" i="10"/>
  <c r="S74" i="10"/>
  <c r="P74" i="10"/>
  <c r="O74" i="10"/>
  <c r="N74" i="10"/>
  <c r="M74" i="10"/>
  <c r="L74" i="10"/>
  <c r="K74" i="10"/>
  <c r="H74" i="10"/>
  <c r="G74" i="10"/>
  <c r="F74" i="10"/>
  <c r="E74" i="10"/>
  <c r="D74" i="10"/>
  <c r="C74" i="10"/>
  <c r="X65" i="10"/>
  <c r="W65" i="10"/>
  <c r="V65" i="10"/>
  <c r="U65" i="10"/>
  <c r="T65" i="10"/>
  <c r="P65" i="10"/>
  <c r="O65" i="10"/>
  <c r="N65" i="10"/>
  <c r="M65" i="10"/>
  <c r="L65" i="10"/>
  <c r="H65" i="10"/>
  <c r="G65" i="10"/>
  <c r="F65" i="10"/>
  <c r="E65" i="10"/>
  <c r="D65" i="10"/>
  <c r="S64" i="10"/>
  <c r="K64" i="10"/>
  <c r="C64" i="10"/>
  <c r="S63" i="10"/>
  <c r="K63" i="10"/>
  <c r="C63" i="10"/>
  <c r="S62" i="10"/>
  <c r="K62" i="10"/>
  <c r="C62" i="10"/>
  <c r="S61" i="10"/>
  <c r="K61" i="10"/>
  <c r="C61" i="10"/>
  <c r="H55" i="10"/>
  <c r="G55" i="10"/>
  <c r="F55" i="10"/>
  <c r="E55" i="10"/>
  <c r="D55" i="10"/>
  <c r="C55" i="10"/>
  <c r="M46" i="10"/>
  <c r="M10" i="10" s="1"/>
  <c r="M25" i="10" s="1"/>
  <c r="L46" i="10"/>
  <c r="K46" i="10"/>
  <c r="J46" i="10"/>
  <c r="J10" i="10" s="1"/>
  <c r="J25" i="10" s="1"/>
  <c r="I46" i="10"/>
  <c r="I10" i="10" s="1"/>
  <c r="I25" i="10" s="1"/>
  <c r="H46" i="10"/>
  <c r="G46" i="10"/>
  <c r="F46" i="10"/>
  <c r="E46" i="10"/>
  <c r="E10" i="10" s="1"/>
  <c r="E25" i="10" s="1"/>
  <c r="D46" i="10"/>
  <c r="M37" i="10"/>
  <c r="L37" i="10"/>
  <c r="K37" i="10"/>
  <c r="J37" i="10"/>
  <c r="I37" i="10"/>
  <c r="H37" i="10"/>
  <c r="G37" i="10"/>
  <c r="G10" i="10" s="1"/>
  <c r="G25" i="10" s="1"/>
  <c r="F37" i="10"/>
  <c r="E37" i="10"/>
  <c r="D37" i="10"/>
  <c r="K10" i="10"/>
  <c r="K25" i="10" s="1"/>
  <c r="F10" i="10"/>
  <c r="F25" i="10" s="1"/>
  <c r="H263" i="6"/>
  <c r="G263" i="6"/>
  <c r="F263" i="6"/>
  <c r="F12" i="6" s="1"/>
  <c r="F13" i="6" s="1"/>
  <c r="E263" i="6"/>
  <c r="D263" i="6"/>
  <c r="Q262" i="6"/>
  <c r="T262" i="6" s="1"/>
  <c r="P262" i="6"/>
  <c r="O262" i="6"/>
  <c r="M262" i="6"/>
  <c r="L262" i="6"/>
  <c r="K262" i="6"/>
  <c r="J262" i="6"/>
  <c r="I262" i="6"/>
  <c r="Q258" i="6"/>
  <c r="T258" i="6" s="1"/>
  <c r="P258" i="6"/>
  <c r="O258" i="6"/>
  <c r="M258" i="6"/>
  <c r="L258" i="6"/>
  <c r="K258" i="6"/>
  <c r="J258" i="6"/>
  <c r="I258" i="6"/>
  <c r="Q254" i="6"/>
  <c r="T254" i="6" s="1"/>
  <c r="P254" i="6"/>
  <c r="O254" i="6"/>
  <c r="M254" i="6"/>
  <c r="L254" i="6"/>
  <c r="K254" i="6"/>
  <c r="J254" i="6"/>
  <c r="I254" i="6"/>
  <c r="T250" i="6"/>
  <c r="Q250" i="6"/>
  <c r="P250" i="6"/>
  <c r="O250" i="6"/>
  <c r="M250" i="6"/>
  <c r="L250" i="6"/>
  <c r="L263" i="6" s="1"/>
  <c r="L12" i="6" s="1"/>
  <c r="K250" i="6"/>
  <c r="J250" i="6"/>
  <c r="I250" i="6"/>
  <c r="I263" i="6" s="1"/>
  <c r="I12" i="6" s="1"/>
  <c r="H240" i="6"/>
  <c r="H11" i="6" s="1"/>
  <c r="G240" i="6"/>
  <c r="G11" i="6" s="1"/>
  <c r="F240" i="6"/>
  <c r="E240" i="6"/>
  <c r="E11" i="6" s="1"/>
  <c r="E13" i="6" s="1"/>
  <c r="D240" i="6"/>
  <c r="Q239" i="6"/>
  <c r="T239" i="6" s="1"/>
  <c r="P239" i="6"/>
  <c r="O239" i="6"/>
  <c r="M239" i="6"/>
  <c r="L239" i="6"/>
  <c r="K239" i="6"/>
  <c r="J239" i="6"/>
  <c r="I239" i="6"/>
  <c r="Q235" i="6"/>
  <c r="T235" i="6" s="1"/>
  <c r="P235" i="6"/>
  <c r="O235" i="6"/>
  <c r="M235" i="6"/>
  <c r="L235" i="6"/>
  <c r="K235" i="6"/>
  <c r="J235" i="6"/>
  <c r="I235" i="6"/>
  <c r="Q231" i="6"/>
  <c r="T231" i="6" s="1"/>
  <c r="P231" i="6"/>
  <c r="O231" i="6"/>
  <c r="M231" i="6"/>
  <c r="L231" i="6"/>
  <c r="K231" i="6"/>
  <c r="J231" i="6"/>
  <c r="I231" i="6"/>
  <c r="Q227" i="6"/>
  <c r="T227" i="6" s="1"/>
  <c r="P227" i="6"/>
  <c r="O227" i="6"/>
  <c r="M227" i="6"/>
  <c r="M240" i="6" s="1"/>
  <c r="M11" i="6" s="1"/>
  <c r="L227" i="6"/>
  <c r="L240" i="6" s="1"/>
  <c r="L11" i="6" s="1"/>
  <c r="K227" i="6"/>
  <c r="J227" i="6"/>
  <c r="I227" i="6"/>
  <c r="I240" i="6" s="1"/>
  <c r="I11" i="6" s="1"/>
  <c r="H217" i="6"/>
  <c r="G217" i="6"/>
  <c r="F217" i="6"/>
  <c r="E217" i="6"/>
  <c r="D217" i="6"/>
  <c r="Q216" i="6"/>
  <c r="T216" i="6" s="1"/>
  <c r="P216" i="6"/>
  <c r="O216" i="6"/>
  <c r="M216" i="6"/>
  <c r="L216" i="6"/>
  <c r="K216" i="6"/>
  <c r="K217" i="6" s="1"/>
  <c r="J216" i="6"/>
  <c r="I216" i="6"/>
  <c r="M215" i="6"/>
  <c r="L215" i="6"/>
  <c r="K215" i="6"/>
  <c r="J215" i="6"/>
  <c r="I215" i="6"/>
  <c r="M212" i="6"/>
  <c r="L212" i="6"/>
  <c r="K212" i="6"/>
  <c r="J212" i="6"/>
  <c r="I212" i="6"/>
  <c r="Q208" i="6"/>
  <c r="T208" i="6" s="1"/>
  <c r="P208" i="6"/>
  <c r="O208" i="6"/>
  <c r="M208" i="6"/>
  <c r="L208" i="6"/>
  <c r="K208" i="6"/>
  <c r="J208" i="6"/>
  <c r="I208" i="6"/>
  <c r="M207" i="6"/>
  <c r="L207" i="6"/>
  <c r="K207" i="6"/>
  <c r="J207" i="6"/>
  <c r="I207" i="6"/>
  <c r="M204" i="6"/>
  <c r="L204" i="6"/>
  <c r="K204" i="6"/>
  <c r="J204" i="6"/>
  <c r="I204" i="6"/>
  <c r="T200" i="6"/>
  <c r="Q200" i="6"/>
  <c r="P200" i="6"/>
  <c r="O200" i="6"/>
  <c r="M200" i="6"/>
  <c r="L200" i="6"/>
  <c r="K200" i="6"/>
  <c r="J200" i="6"/>
  <c r="I200" i="6"/>
  <c r="S200" i="6" s="1"/>
  <c r="M199" i="6"/>
  <c r="L199" i="6"/>
  <c r="K199" i="6"/>
  <c r="J199" i="6"/>
  <c r="I199" i="6"/>
  <c r="M196" i="6"/>
  <c r="L196" i="6"/>
  <c r="K196" i="6"/>
  <c r="J196" i="6"/>
  <c r="I196" i="6"/>
  <c r="Q192" i="6"/>
  <c r="Q217" i="6" s="1"/>
  <c r="T217" i="6" s="1"/>
  <c r="P192" i="6"/>
  <c r="P217" i="6" s="1"/>
  <c r="O192" i="6"/>
  <c r="M192" i="6"/>
  <c r="L192" i="6"/>
  <c r="L217" i="6" s="1"/>
  <c r="K192" i="6"/>
  <c r="J192" i="6"/>
  <c r="I192" i="6"/>
  <c r="M191" i="6"/>
  <c r="L191" i="6"/>
  <c r="K191" i="6"/>
  <c r="J191" i="6"/>
  <c r="I191" i="6"/>
  <c r="M188" i="6"/>
  <c r="L188" i="6"/>
  <c r="K188" i="6"/>
  <c r="J188" i="6"/>
  <c r="I188" i="6"/>
  <c r="H178" i="6"/>
  <c r="G178" i="6"/>
  <c r="F178" i="6"/>
  <c r="F10" i="6" s="1"/>
  <c r="E178" i="6"/>
  <c r="D178" i="6"/>
  <c r="Q177" i="6"/>
  <c r="T177" i="6" s="1"/>
  <c r="P177" i="6"/>
  <c r="O177" i="6"/>
  <c r="M177" i="6"/>
  <c r="L177" i="6"/>
  <c r="K177" i="6"/>
  <c r="J177" i="6"/>
  <c r="I177" i="6"/>
  <c r="M176" i="6"/>
  <c r="L176" i="6"/>
  <c r="K176" i="6"/>
  <c r="J176" i="6"/>
  <c r="I176" i="6"/>
  <c r="M173" i="6"/>
  <c r="L173" i="6"/>
  <c r="K173" i="6"/>
  <c r="J173" i="6"/>
  <c r="I173" i="6"/>
  <c r="Q169" i="6"/>
  <c r="T169" i="6" s="1"/>
  <c r="P169" i="6"/>
  <c r="O169" i="6"/>
  <c r="M169" i="6"/>
  <c r="L169" i="6"/>
  <c r="K169" i="6"/>
  <c r="J169" i="6"/>
  <c r="I169" i="6"/>
  <c r="S169" i="6" s="1"/>
  <c r="M168" i="6"/>
  <c r="L168" i="6"/>
  <c r="K168" i="6"/>
  <c r="J168" i="6"/>
  <c r="I168" i="6"/>
  <c r="M165" i="6"/>
  <c r="L165" i="6"/>
  <c r="K165" i="6"/>
  <c r="J165" i="6"/>
  <c r="I165" i="6"/>
  <c r="Q161" i="6"/>
  <c r="T161" i="6" s="1"/>
  <c r="P161" i="6"/>
  <c r="O161" i="6"/>
  <c r="M161" i="6"/>
  <c r="L161" i="6"/>
  <c r="K161" i="6"/>
  <c r="K178" i="6" s="1"/>
  <c r="J161" i="6"/>
  <c r="I161" i="6"/>
  <c r="M160" i="6"/>
  <c r="L160" i="6"/>
  <c r="K160" i="6"/>
  <c r="J160" i="6"/>
  <c r="I160" i="6"/>
  <c r="M157" i="6"/>
  <c r="L157" i="6"/>
  <c r="K157" i="6"/>
  <c r="J157" i="6"/>
  <c r="I157" i="6"/>
  <c r="Q153" i="6"/>
  <c r="P153" i="6"/>
  <c r="P178" i="6" s="1"/>
  <c r="O153" i="6"/>
  <c r="O178" i="6" s="1"/>
  <c r="M153" i="6"/>
  <c r="L153" i="6"/>
  <c r="K153" i="6"/>
  <c r="J153" i="6"/>
  <c r="J178" i="6" s="1"/>
  <c r="I153" i="6"/>
  <c r="S153" i="6" s="1"/>
  <c r="M152" i="6"/>
  <c r="L152" i="6"/>
  <c r="K152" i="6"/>
  <c r="J152" i="6"/>
  <c r="I152" i="6"/>
  <c r="M149" i="6"/>
  <c r="L149" i="6"/>
  <c r="K149" i="6"/>
  <c r="J149" i="6"/>
  <c r="I149" i="6"/>
  <c r="H137" i="6"/>
  <c r="G137" i="6"/>
  <c r="F137" i="6"/>
  <c r="E137" i="6"/>
  <c r="D137" i="6"/>
  <c r="M136" i="6"/>
  <c r="M74" i="6" s="1"/>
  <c r="L136" i="6"/>
  <c r="K136" i="6"/>
  <c r="J136" i="6"/>
  <c r="J74" i="6" s="1"/>
  <c r="I136" i="6"/>
  <c r="I74" i="6" s="1"/>
  <c r="M130" i="6"/>
  <c r="L130" i="6"/>
  <c r="K130" i="6"/>
  <c r="K68" i="6" s="1"/>
  <c r="J130" i="6"/>
  <c r="J68" i="6" s="1"/>
  <c r="I130" i="6"/>
  <c r="M124" i="6"/>
  <c r="L124" i="6"/>
  <c r="L62" i="6" s="1"/>
  <c r="K124" i="6"/>
  <c r="K62" i="6" s="1"/>
  <c r="J124" i="6"/>
  <c r="I124" i="6"/>
  <c r="M118" i="6"/>
  <c r="L118" i="6"/>
  <c r="L137" i="6" s="1"/>
  <c r="K118" i="6"/>
  <c r="J118" i="6"/>
  <c r="I118" i="6"/>
  <c r="H106" i="6"/>
  <c r="G106" i="6"/>
  <c r="F106" i="6"/>
  <c r="E106" i="6"/>
  <c r="D106" i="6"/>
  <c r="M105" i="6"/>
  <c r="L105" i="6"/>
  <c r="L74" i="6" s="1"/>
  <c r="K105" i="6"/>
  <c r="K74" i="6" s="1"/>
  <c r="J105" i="6"/>
  <c r="I105" i="6"/>
  <c r="M99" i="6"/>
  <c r="M68" i="6" s="1"/>
  <c r="L99" i="6"/>
  <c r="L68" i="6" s="1"/>
  <c r="K99" i="6"/>
  <c r="J99" i="6"/>
  <c r="I99" i="6"/>
  <c r="M93" i="6"/>
  <c r="M62" i="6" s="1"/>
  <c r="L93" i="6"/>
  <c r="K93" i="6"/>
  <c r="J93" i="6"/>
  <c r="I93" i="6"/>
  <c r="I106" i="6" s="1"/>
  <c r="M87" i="6"/>
  <c r="L87" i="6"/>
  <c r="K87" i="6"/>
  <c r="J87" i="6"/>
  <c r="J106" i="6" s="1"/>
  <c r="I87" i="6"/>
  <c r="H74" i="6"/>
  <c r="G74" i="6"/>
  <c r="F74" i="6"/>
  <c r="E74" i="6"/>
  <c r="D74" i="6"/>
  <c r="M73" i="6"/>
  <c r="L73" i="6"/>
  <c r="K73" i="6"/>
  <c r="J73" i="6"/>
  <c r="I73" i="6"/>
  <c r="M72" i="6"/>
  <c r="L72" i="6"/>
  <c r="K72" i="6"/>
  <c r="J72" i="6"/>
  <c r="I72" i="6"/>
  <c r="M71" i="6"/>
  <c r="L71" i="6"/>
  <c r="K71" i="6"/>
  <c r="J71" i="6"/>
  <c r="I71" i="6"/>
  <c r="H71" i="6"/>
  <c r="G71" i="6"/>
  <c r="F71" i="6"/>
  <c r="E71" i="6"/>
  <c r="D71" i="6"/>
  <c r="M70" i="6"/>
  <c r="L70" i="6"/>
  <c r="K70" i="6"/>
  <c r="J70" i="6"/>
  <c r="I70" i="6"/>
  <c r="H70" i="6"/>
  <c r="G70" i="6"/>
  <c r="F70" i="6"/>
  <c r="E70" i="6"/>
  <c r="D70" i="6"/>
  <c r="I68" i="6"/>
  <c r="H68" i="6"/>
  <c r="G68" i="6"/>
  <c r="F68" i="6"/>
  <c r="E68" i="6"/>
  <c r="D68" i="6"/>
  <c r="M67" i="6"/>
  <c r="L67" i="6"/>
  <c r="K67" i="6"/>
  <c r="J67" i="6"/>
  <c r="I67" i="6"/>
  <c r="M66" i="6"/>
  <c r="L66" i="6"/>
  <c r="K66" i="6"/>
  <c r="J66" i="6"/>
  <c r="I66" i="6"/>
  <c r="M65" i="6"/>
  <c r="L65" i="6"/>
  <c r="K65" i="6"/>
  <c r="J65" i="6"/>
  <c r="I65" i="6"/>
  <c r="H65" i="6"/>
  <c r="G65" i="6"/>
  <c r="F65" i="6"/>
  <c r="E65" i="6"/>
  <c r="D65" i="6"/>
  <c r="M64" i="6"/>
  <c r="L64" i="6"/>
  <c r="K64" i="6"/>
  <c r="J64" i="6"/>
  <c r="I64" i="6"/>
  <c r="H64" i="6"/>
  <c r="G64" i="6"/>
  <c r="F64" i="6"/>
  <c r="E64" i="6"/>
  <c r="D64" i="6"/>
  <c r="J62" i="6"/>
  <c r="I62" i="6"/>
  <c r="H62" i="6"/>
  <c r="G62" i="6"/>
  <c r="F62" i="6"/>
  <c r="E62" i="6"/>
  <c r="D62" i="6"/>
  <c r="M61" i="6"/>
  <c r="L61" i="6"/>
  <c r="K61" i="6"/>
  <c r="J61" i="6"/>
  <c r="I61" i="6"/>
  <c r="M60" i="6"/>
  <c r="L60" i="6"/>
  <c r="K60" i="6"/>
  <c r="J60" i="6"/>
  <c r="I60" i="6"/>
  <c r="M59" i="6"/>
  <c r="L59" i="6"/>
  <c r="K59" i="6"/>
  <c r="J59" i="6"/>
  <c r="I59" i="6"/>
  <c r="H59" i="6"/>
  <c r="G59" i="6"/>
  <c r="F59" i="6"/>
  <c r="E59" i="6"/>
  <c r="D59" i="6"/>
  <c r="M58" i="6"/>
  <c r="L58" i="6"/>
  <c r="K58" i="6"/>
  <c r="J58" i="6"/>
  <c r="I58" i="6"/>
  <c r="H58" i="6"/>
  <c r="G58" i="6"/>
  <c r="G75" i="6" s="1"/>
  <c r="F58" i="6"/>
  <c r="E58" i="6"/>
  <c r="D58" i="6"/>
  <c r="M56" i="6"/>
  <c r="H56" i="6"/>
  <c r="G56" i="6"/>
  <c r="F56" i="6"/>
  <c r="E56" i="6"/>
  <c r="D56" i="6"/>
  <c r="M55" i="6"/>
  <c r="L55" i="6"/>
  <c r="K55" i="6"/>
  <c r="J55" i="6"/>
  <c r="I55" i="6"/>
  <c r="M54" i="6"/>
  <c r="L54" i="6"/>
  <c r="K54" i="6"/>
  <c r="J54" i="6"/>
  <c r="I54" i="6"/>
  <c r="M53" i="6"/>
  <c r="L53" i="6"/>
  <c r="K53" i="6"/>
  <c r="J53" i="6"/>
  <c r="I53" i="6"/>
  <c r="H53" i="6"/>
  <c r="G53" i="6"/>
  <c r="F53" i="6"/>
  <c r="E53" i="6"/>
  <c r="D53" i="6"/>
  <c r="M52" i="6"/>
  <c r="L52" i="6"/>
  <c r="L75" i="6" s="1"/>
  <c r="K52" i="6"/>
  <c r="J52" i="6"/>
  <c r="I52" i="6"/>
  <c r="H52" i="6"/>
  <c r="H75" i="6" s="1"/>
  <c r="G52" i="6"/>
  <c r="F52" i="6"/>
  <c r="E52" i="6"/>
  <c r="D52" i="6"/>
  <c r="D75" i="6" s="1"/>
  <c r="H43" i="6"/>
  <c r="P43" i="6" s="1"/>
  <c r="G43" i="6"/>
  <c r="F43" i="6"/>
  <c r="E43" i="6"/>
  <c r="D43" i="6"/>
  <c r="M42" i="6"/>
  <c r="L42" i="6"/>
  <c r="L43" i="6" s="1"/>
  <c r="K42" i="6"/>
  <c r="J42" i="6"/>
  <c r="I42" i="6"/>
  <c r="M41" i="6"/>
  <c r="L41" i="6"/>
  <c r="K41" i="6"/>
  <c r="K43" i="6" s="1"/>
  <c r="J41" i="6"/>
  <c r="J43" i="6" s="1"/>
  <c r="I41" i="6"/>
  <c r="H39" i="6"/>
  <c r="P39" i="6" s="1"/>
  <c r="G39" i="6"/>
  <c r="F39" i="6"/>
  <c r="E39" i="6"/>
  <c r="D39" i="6"/>
  <c r="M38" i="6"/>
  <c r="L38" i="6"/>
  <c r="K38" i="6"/>
  <c r="K39" i="6" s="1"/>
  <c r="J38" i="6"/>
  <c r="I38" i="6"/>
  <c r="M37" i="6"/>
  <c r="L37" i="6"/>
  <c r="L39" i="6" s="1"/>
  <c r="K37" i="6"/>
  <c r="J37" i="6"/>
  <c r="I37" i="6"/>
  <c r="J35" i="6"/>
  <c r="H35" i="6"/>
  <c r="P35" i="6" s="1"/>
  <c r="G35" i="6"/>
  <c r="F35" i="6"/>
  <c r="E35" i="6"/>
  <c r="D35" i="6"/>
  <c r="M34" i="6"/>
  <c r="L34" i="6"/>
  <c r="K34" i="6"/>
  <c r="J34" i="6"/>
  <c r="I34" i="6"/>
  <c r="M33" i="6"/>
  <c r="M35" i="6" s="1"/>
  <c r="L33" i="6"/>
  <c r="K33" i="6"/>
  <c r="J33" i="6"/>
  <c r="I33" i="6"/>
  <c r="I35" i="6" s="1"/>
  <c r="P31" i="6"/>
  <c r="H31" i="6"/>
  <c r="G31" i="6"/>
  <c r="F31" i="6"/>
  <c r="E31" i="6"/>
  <c r="D31" i="6"/>
  <c r="M30" i="6"/>
  <c r="L30" i="6"/>
  <c r="K30" i="6"/>
  <c r="J30" i="6"/>
  <c r="I30" i="6"/>
  <c r="M29" i="6"/>
  <c r="L29" i="6"/>
  <c r="K29" i="6"/>
  <c r="J29" i="6"/>
  <c r="J31" i="6" s="1"/>
  <c r="I29" i="6"/>
  <c r="I31" i="6" s="1"/>
  <c r="M22" i="6"/>
  <c r="L22" i="6"/>
  <c r="K22" i="6"/>
  <c r="J22" i="6"/>
  <c r="I22" i="6"/>
  <c r="H22" i="6"/>
  <c r="P22" i="6" s="1"/>
  <c r="G22" i="6"/>
  <c r="F22" i="6"/>
  <c r="E22" i="6"/>
  <c r="D22" i="6"/>
  <c r="Q22" i="6" s="1"/>
  <c r="T22" i="6" s="1"/>
  <c r="S21" i="6"/>
  <c r="Q21" i="6"/>
  <c r="T21" i="6" s="1"/>
  <c r="P21" i="6"/>
  <c r="O21" i="6"/>
  <c r="S20" i="6"/>
  <c r="Q20" i="6"/>
  <c r="T20" i="6" s="1"/>
  <c r="P20" i="6"/>
  <c r="O20" i="6"/>
  <c r="S14" i="6"/>
  <c r="Q14" i="6"/>
  <c r="T14" i="6" s="1"/>
  <c r="P14" i="6"/>
  <c r="O14" i="6"/>
  <c r="H12" i="6"/>
  <c r="P12" i="6" s="1"/>
  <c r="G12" i="6"/>
  <c r="E12" i="6"/>
  <c r="D12" i="6"/>
  <c r="F11" i="6"/>
  <c r="C83" i="10" l="1"/>
  <c r="K83" i="10"/>
  <c r="S83" i="10"/>
  <c r="G101" i="10"/>
  <c r="H100" i="10"/>
  <c r="S129" i="10"/>
  <c r="K111" i="10"/>
  <c r="H99" i="10"/>
  <c r="C129" i="10"/>
  <c r="D10" i="10"/>
  <c r="D25" i="10" s="1"/>
  <c r="H10" i="10"/>
  <c r="H25" i="10" s="1"/>
  <c r="L10" i="10"/>
  <c r="L25" i="10" s="1"/>
  <c r="C65" i="10"/>
  <c r="K65" i="10"/>
  <c r="S65" i="10"/>
  <c r="K129" i="10"/>
  <c r="D101" i="10"/>
  <c r="C97" i="10"/>
  <c r="C101" i="10" s="1"/>
  <c r="H97" i="10"/>
  <c r="H101" i="10" s="1"/>
  <c r="C111" i="10"/>
  <c r="S111" i="10"/>
  <c r="F98" i="10"/>
  <c r="H98" i="10" s="1"/>
  <c r="F101" i="10"/>
  <c r="M178" i="6"/>
  <c r="O12" i="6"/>
  <c r="M217" i="6"/>
  <c r="O22" i="6"/>
  <c r="L31" i="6"/>
  <c r="K31" i="6"/>
  <c r="O31" i="6"/>
  <c r="J39" i="6"/>
  <c r="S39" i="6" s="1"/>
  <c r="I39" i="6"/>
  <c r="M39" i="6"/>
  <c r="L106" i="6"/>
  <c r="I178" i="6"/>
  <c r="I10" i="6" s="1"/>
  <c r="S177" i="6"/>
  <c r="J217" i="6"/>
  <c r="O217" i="6"/>
  <c r="S216" i="6"/>
  <c r="G10" i="6"/>
  <c r="S235" i="6"/>
  <c r="S239" i="6"/>
  <c r="G13" i="6"/>
  <c r="G15" i="6" s="1"/>
  <c r="K263" i="6"/>
  <c r="K12" i="6" s="1"/>
  <c r="P263" i="6"/>
  <c r="M106" i="6"/>
  <c r="L13" i="6"/>
  <c r="L16" i="6" s="1"/>
  <c r="S22" i="6"/>
  <c r="L35" i="6"/>
  <c r="E75" i="6"/>
  <c r="I217" i="6"/>
  <c r="T192" i="6"/>
  <c r="M13" i="6"/>
  <c r="M16" i="6" s="1"/>
  <c r="S254" i="6"/>
  <c r="S258" i="6"/>
  <c r="M263" i="6"/>
  <c r="M12" i="6" s="1"/>
  <c r="M31" i="6"/>
  <c r="K35" i="6"/>
  <c r="S35" i="6" s="1"/>
  <c r="I43" i="6"/>
  <c r="M43" i="6"/>
  <c r="O43" i="6"/>
  <c r="K75" i="6"/>
  <c r="J56" i="6"/>
  <c r="E10" i="6"/>
  <c r="S208" i="6"/>
  <c r="K240" i="6"/>
  <c r="K11" i="6" s="1"/>
  <c r="K13" i="6" s="1"/>
  <c r="P240" i="6"/>
  <c r="S12" i="6"/>
  <c r="I13" i="6"/>
  <c r="M15" i="6"/>
  <c r="S31" i="6"/>
  <c r="E16" i="6"/>
  <c r="E15" i="6"/>
  <c r="F16" i="6"/>
  <c r="F15" i="6"/>
  <c r="K10" i="6"/>
  <c r="H13" i="6"/>
  <c r="P11" i="6"/>
  <c r="Q12" i="6"/>
  <c r="T12" i="6" s="1"/>
  <c r="S43" i="6"/>
  <c r="I75" i="6"/>
  <c r="M75" i="6"/>
  <c r="I137" i="6"/>
  <c r="M137" i="6"/>
  <c r="L178" i="6"/>
  <c r="L10" i="6" s="1"/>
  <c r="Q178" i="6"/>
  <c r="T178" i="6" s="1"/>
  <c r="T153" i="6"/>
  <c r="S161" i="6"/>
  <c r="S178" i="6" s="1"/>
  <c r="S227" i="6"/>
  <c r="Q240" i="6"/>
  <c r="T240" i="6" s="1"/>
  <c r="H10" i="6"/>
  <c r="P10" i="6" s="1"/>
  <c r="D11" i="6"/>
  <c r="O35" i="6"/>
  <c r="Q43" i="6"/>
  <c r="T43" i="6" s="1"/>
  <c r="F75" i="6"/>
  <c r="J75" i="6"/>
  <c r="J137" i="6"/>
  <c r="K137" i="6"/>
  <c r="J240" i="6"/>
  <c r="J11" i="6" s="1"/>
  <c r="J13" i="6" s="1"/>
  <c r="O240" i="6"/>
  <c r="S231" i="6"/>
  <c r="S250" i="6"/>
  <c r="S262" i="6"/>
  <c r="Q263" i="6"/>
  <c r="T263" i="6" s="1"/>
  <c r="D10" i="6"/>
  <c r="Q31" i="6"/>
  <c r="T31" i="6" s="1"/>
  <c r="Q35" i="6"/>
  <c r="T35" i="6" s="1"/>
  <c r="O39" i="6"/>
  <c r="Q39" i="6"/>
  <c r="T39" i="6" s="1"/>
  <c r="I56" i="6"/>
  <c r="K106" i="6"/>
  <c r="K56" i="6"/>
  <c r="S192" i="6"/>
  <c r="J263" i="6"/>
  <c r="J12" i="6" s="1"/>
  <c r="O263" i="6"/>
  <c r="L56" i="6"/>
  <c r="S217" i="6" l="1"/>
  <c r="G16" i="6"/>
  <c r="L15" i="6"/>
  <c r="S240" i="6"/>
  <c r="M10" i="6"/>
  <c r="J15" i="6"/>
  <c r="J16" i="6"/>
  <c r="D13" i="6"/>
  <c r="O11" i="6"/>
  <c r="Q11" i="6"/>
  <c r="T11" i="6" s="1"/>
  <c r="H15" i="6"/>
  <c r="P15" i="6" s="1"/>
  <c r="P13" i="6"/>
  <c r="H16" i="6"/>
  <c r="S263" i="6"/>
  <c r="O10" i="6"/>
  <c r="Q10" i="6"/>
  <c r="T10" i="6" s="1"/>
  <c r="K16" i="6"/>
  <c r="K15" i="6"/>
  <c r="S11" i="6"/>
  <c r="D266" i="6"/>
  <c r="J10" i="6"/>
  <c r="S10" i="6" s="1"/>
  <c r="I16" i="6"/>
  <c r="I15" i="6"/>
  <c r="S15" i="6" s="1"/>
  <c r="S13" i="6"/>
  <c r="D15" i="6" l="1"/>
  <c r="Q13" i="6"/>
  <c r="T13" i="6" s="1"/>
  <c r="D16" i="6"/>
  <c r="O13" i="6"/>
  <c r="Q15" i="6" l="1"/>
  <c r="T15" i="6" s="1"/>
  <c r="O15" i="6"/>
  <c r="AN7" i="23" l="1"/>
  <c r="AM7" i="23"/>
  <c r="Z28" i="23"/>
  <c r="AQ28" i="23" s="1"/>
  <c r="Z29" i="23"/>
  <c r="AQ29" i="23" s="1"/>
  <c r="Z30" i="23"/>
  <c r="AQ30" i="23" s="1"/>
  <c r="Z31" i="23"/>
  <c r="AQ31" i="23" s="1"/>
  <c r="Z32" i="23"/>
  <c r="AQ32" i="23" s="1"/>
  <c r="Z33" i="23"/>
  <c r="AQ33" i="23" s="1"/>
  <c r="Z34" i="23"/>
  <c r="AQ34" i="23" s="1"/>
  <c r="Z35" i="23"/>
  <c r="AQ35" i="23" s="1"/>
  <c r="Z36" i="23"/>
  <c r="AQ36" i="23" s="1"/>
  <c r="Z37" i="23"/>
  <c r="AQ37" i="23" s="1"/>
  <c r="Z38" i="23"/>
  <c r="AQ38" i="23" s="1"/>
  <c r="Z39" i="23"/>
  <c r="AQ39" i="23" s="1"/>
  <c r="Z22" i="23"/>
  <c r="AQ22" i="23" s="1"/>
  <c r="Z23" i="23"/>
  <c r="AQ23" i="23" s="1"/>
  <c r="AC28" i="23"/>
  <c r="AT28" i="23" s="1"/>
  <c r="AC29" i="23"/>
  <c r="AT29" i="23" s="1"/>
  <c r="AC30" i="23"/>
  <c r="AT30" i="23" s="1"/>
  <c r="AC31" i="23"/>
  <c r="AT31" i="23" s="1"/>
  <c r="AC32" i="23"/>
  <c r="AT32" i="23" s="1"/>
  <c r="AC33" i="23"/>
  <c r="AT33" i="23" s="1"/>
  <c r="AC34" i="23"/>
  <c r="AT34" i="23" s="1"/>
  <c r="AC35" i="23"/>
  <c r="AT35" i="23" s="1"/>
  <c r="AC36" i="23"/>
  <c r="AT36" i="23" s="1"/>
  <c r="AC37" i="23"/>
  <c r="AT37" i="23" s="1"/>
  <c r="AC38" i="23"/>
  <c r="AT38" i="23" s="1"/>
  <c r="AC39" i="23"/>
  <c r="AT39" i="23" s="1"/>
  <c r="AC22" i="23"/>
  <c r="AT22" i="23" s="1"/>
  <c r="AC23" i="23"/>
  <c r="AT23" i="23" s="1"/>
  <c r="AA28" i="23"/>
  <c r="AR28" i="23" s="1"/>
  <c r="AA29" i="23"/>
  <c r="AR29" i="23" s="1"/>
  <c r="AA30" i="23"/>
  <c r="AR30" i="23" s="1"/>
  <c r="AA31" i="23"/>
  <c r="AR31" i="23" s="1"/>
  <c r="AA32" i="23"/>
  <c r="AR32" i="23" s="1"/>
  <c r="AA33" i="23"/>
  <c r="AR33" i="23" s="1"/>
  <c r="AA34" i="23"/>
  <c r="AR34" i="23" s="1"/>
  <c r="AA35" i="23"/>
  <c r="AR35" i="23" s="1"/>
  <c r="AA36" i="23"/>
  <c r="AR36" i="23" s="1"/>
  <c r="AA37" i="23"/>
  <c r="AR37" i="23" s="1"/>
  <c r="AA38" i="23"/>
  <c r="AR38" i="23" s="1"/>
  <c r="AA39" i="23"/>
  <c r="AR39" i="23" s="1"/>
  <c r="AA22" i="23"/>
  <c r="AR22" i="23" s="1"/>
  <c r="AA23" i="23"/>
  <c r="AR23" i="23" s="1"/>
  <c r="C5" i="27"/>
  <c r="D5" i="27"/>
  <c r="E5" i="27"/>
  <c r="F5" i="27"/>
  <c r="AB28" i="23"/>
  <c r="AS28" i="23" s="1"/>
  <c r="AB29" i="23"/>
  <c r="AS29" i="23" s="1"/>
  <c r="AB30" i="23"/>
  <c r="AS30" i="23" s="1"/>
  <c r="AB31" i="23"/>
  <c r="AS31" i="23" s="1"/>
  <c r="AB32" i="23"/>
  <c r="AS32" i="23" s="1"/>
  <c r="AB33" i="23"/>
  <c r="AS33" i="23" s="1"/>
  <c r="AB34" i="23"/>
  <c r="AS34" i="23" s="1"/>
  <c r="AB35" i="23"/>
  <c r="AS35" i="23" s="1"/>
  <c r="AB36" i="23"/>
  <c r="AS36" i="23" s="1"/>
  <c r="AB37" i="23"/>
  <c r="AS37" i="23" s="1"/>
  <c r="AB38" i="23"/>
  <c r="AS38" i="23" s="1"/>
  <c r="AB39" i="23"/>
  <c r="AS39" i="23" s="1"/>
  <c r="AB22" i="23"/>
  <c r="AS22" i="23" s="1"/>
  <c r="AB23" i="23"/>
  <c r="AS23" i="23" s="1"/>
  <c r="AD28" i="23"/>
  <c r="AU28" i="23" s="1"/>
  <c r="AD29" i="23"/>
  <c r="AU29" i="23" s="1"/>
  <c r="AD30" i="23"/>
  <c r="AU30" i="23" s="1"/>
  <c r="AD31" i="23"/>
  <c r="AU31" i="23" s="1"/>
  <c r="AD32" i="23"/>
  <c r="AU32" i="23" s="1"/>
  <c r="AD33" i="23"/>
  <c r="AU33" i="23" s="1"/>
  <c r="AD34" i="23"/>
  <c r="AU34" i="23" s="1"/>
  <c r="AD35" i="23"/>
  <c r="AU35" i="23" s="1"/>
  <c r="AD36" i="23"/>
  <c r="AU36" i="23" s="1"/>
  <c r="AD37" i="23"/>
  <c r="AU37" i="23" s="1"/>
  <c r="AD38" i="23"/>
  <c r="AU38" i="23" s="1"/>
  <c r="AD39" i="23"/>
  <c r="AU39" i="23" s="1"/>
  <c r="AD22" i="23"/>
  <c r="AU22" i="23" s="1"/>
  <c r="AD23" i="23"/>
  <c r="AU23" i="23" s="1"/>
  <c r="O31" i="25"/>
  <c r="P31" i="25"/>
  <c r="Q31" i="25"/>
  <c r="R31" i="25"/>
  <c r="S31" i="25"/>
  <c r="D32" i="24"/>
  <c r="C32" i="24"/>
  <c r="C42" i="22"/>
  <c r="K5" i="22"/>
  <c r="O9" i="22"/>
  <c r="C39" i="22"/>
  <c r="O6" i="22"/>
  <c r="C43" i="22"/>
  <c r="O10" i="22"/>
  <c r="F61" i="25"/>
  <c r="F62" i="25"/>
  <c r="F63" i="25"/>
  <c r="P65" i="25" s="1"/>
  <c r="F64" i="25"/>
  <c r="F65" i="25"/>
  <c r="G68" i="25"/>
  <c r="Q63" i="25" s="1"/>
  <c r="C41" i="22"/>
  <c r="O8" i="22"/>
  <c r="C40" i="22"/>
  <c r="O7" i="22"/>
  <c r="B5" i="22"/>
  <c r="A1" i="27" s="1"/>
  <c r="D37" i="23"/>
  <c r="I37" i="23" s="1"/>
  <c r="P66" i="25" s="1"/>
  <c r="O11" i="25"/>
  <c r="D18" i="25" s="1"/>
  <c r="D29" i="25" s="1"/>
  <c r="O19" i="25"/>
  <c r="D19" i="25" s="1"/>
  <c r="O20" i="25"/>
  <c r="D20" i="25" s="1"/>
  <c r="O21" i="25"/>
  <c r="D21" i="25" s="1"/>
  <c r="S27" i="25"/>
  <c r="O36" i="25"/>
  <c r="P36" i="25"/>
  <c r="Q36" i="25"/>
  <c r="R36" i="25"/>
  <c r="S36" i="25"/>
  <c r="O33" i="25"/>
  <c r="P33" i="25"/>
  <c r="P34" i="25" s="1"/>
  <c r="Q33" i="25"/>
  <c r="Q34" i="25" s="1"/>
  <c r="R33" i="25"/>
  <c r="R34" i="25" s="1"/>
  <c r="S33" i="25"/>
  <c r="S34" i="25" s="1"/>
  <c r="O16" i="25"/>
  <c r="D12" i="25" s="1"/>
  <c r="O18" i="25"/>
  <c r="O22" i="25"/>
  <c r="D13" i="25" s="1"/>
  <c r="O23" i="25"/>
  <c r="D14" i="25"/>
  <c r="C50" i="22"/>
  <c r="C110" i="22" s="1"/>
  <c r="C51" i="22"/>
  <c r="F39" i="22"/>
  <c r="I39" i="22"/>
  <c r="C49" i="22"/>
  <c r="F49" i="22"/>
  <c r="F42" i="22"/>
  <c r="I42" i="22"/>
  <c r="C52" i="22"/>
  <c r="F52" i="22"/>
  <c r="I52" i="22" s="1"/>
  <c r="F21" i="22"/>
  <c r="F22" i="22"/>
  <c r="F43" i="22"/>
  <c r="I43" i="22"/>
  <c r="C53" i="22"/>
  <c r="F53" i="22"/>
  <c r="D8" i="23"/>
  <c r="AN8" i="23" s="1"/>
  <c r="F8" i="23"/>
  <c r="G8" i="23"/>
  <c r="H8" i="23"/>
  <c r="D9" i="23"/>
  <c r="AN9" i="23" s="1"/>
  <c r="D10" i="23"/>
  <c r="E10" i="23"/>
  <c r="F10" i="23"/>
  <c r="G10" i="23"/>
  <c r="H10" i="23"/>
  <c r="D11" i="23"/>
  <c r="AM11" i="23" s="1"/>
  <c r="E11" i="23"/>
  <c r="F11" i="23"/>
  <c r="G11" i="23"/>
  <c r="D12" i="23"/>
  <c r="AN12" i="23" s="1"/>
  <c r="E12" i="23"/>
  <c r="F12" i="23"/>
  <c r="H12" i="23"/>
  <c r="D13" i="23"/>
  <c r="AM13" i="23" s="1"/>
  <c r="D14" i="23"/>
  <c r="I14" i="23" s="1"/>
  <c r="D15" i="23"/>
  <c r="AN15" i="23" s="1"/>
  <c r="D16" i="23"/>
  <c r="I16" i="23" s="1"/>
  <c r="D17" i="23"/>
  <c r="AN17" i="23" s="1"/>
  <c r="D18" i="23"/>
  <c r="I18" i="23" s="1"/>
  <c r="D19" i="23"/>
  <c r="I19" i="23" s="1"/>
  <c r="D20" i="23"/>
  <c r="I20" i="23" s="1"/>
  <c r="D21" i="23"/>
  <c r="AM21" i="23" s="1"/>
  <c r="D24" i="23"/>
  <c r="I24" i="23" s="1"/>
  <c r="D25" i="23"/>
  <c r="I25" i="23" s="1"/>
  <c r="D26" i="23"/>
  <c r="I26" i="23" s="1"/>
  <c r="D27" i="23"/>
  <c r="I27" i="23" s="1"/>
  <c r="P16" i="25"/>
  <c r="P18" i="25"/>
  <c r="P22" i="25"/>
  <c r="E13" i="25" s="1"/>
  <c r="Q16" i="25"/>
  <c r="G12" i="25" s="1"/>
  <c r="Q18" i="25"/>
  <c r="Q22" i="25"/>
  <c r="R16" i="25"/>
  <c r="H12" i="25" s="1"/>
  <c r="R18" i="25"/>
  <c r="R22" i="25"/>
  <c r="H13" i="25" s="1"/>
  <c r="S16" i="25"/>
  <c r="S18" i="25"/>
  <c r="I12" i="25" s="1"/>
  <c r="S22" i="25"/>
  <c r="I13" i="25" s="1"/>
  <c r="P11" i="25"/>
  <c r="E18" i="25" s="1"/>
  <c r="Q11" i="25"/>
  <c r="G18" i="25" s="1"/>
  <c r="R11" i="25"/>
  <c r="H18" i="25" s="1"/>
  <c r="H29" i="25" s="1"/>
  <c r="S11" i="25"/>
  <c r="I18" i="25" s="1"/>
  <c r="O29" i="25"/>
  <c r="P29" i="25" s="1"/>
  <c r="S19" i="25"/>
  <c r="I19" i="25" s="1"/>
  <c r="S20" i="25"/>
  <c r="I20" i="25" s="1"/>
  <c r="S21" i="25"/>
  <c r="I21" i="25" s="1"/>
  <c r="R19" i="25"/>
  <c r="H19" i="25" s="1"/>
  <c r="R20" i="25"/>
  <c r="H20" i="25" s="1"/>
  <c r="R21" i="25"/>
  <c r="H21" i="25" s="1"/>
  <c r="Q19" i="25"/>
  <c r="G19" i="25" s="1"/>
  <c r="Q20" i="25"/>
  <c r="G20" i="25" s="1"/>
  <c r="Q21" i="25"/>
  <c r="G21" i="25" s="1"/>
  <c r="P19" i="25"/>
  <c r="E19" i="25" s="1"/>
  <c r="P20" i="25"/>
  <c r="E20" i="25" s="1"/>
  <c r="P21" i="25"/>
  <c r="E21" i="25" s="1"/>
  <c r="I29" i="25"/>
  <c r="E29" i="25"/>
  <c r="S26" i="25"/>
  <c r="S25" i="25"/>
  <c r="R25" i="25"/>
  <c r="Q25" i="25"/>
  <c r="P25" i="25"/>
  <c r="O25" i="25"/>
  <c r="S24" i="25"/>
  <c r="R24" i="25"/>
  <c r="Q24" i="25"/>
  <c r="P24" i="25"/>
  <c r="O24" i="25"/>
  <c r="S23" i="25"/>
  <c r="R23" i="25"/>
  <c r="Q23" i="25"/>
  <c r="P23" i="25"/>
  <c r="S17" i="25"/>
  <c r="R17" i="25"/>
  <c r="Q17" i="25"/>
  <c r="P17" i="25"/>
  <c r="O17" i="25"/>
  <c r="S14" i="25"/>
  <c r="P14" i="25"/>
  <c r="S13" i="25"/>
  <c r="Q13" i="25"/>
  <c r="O13" i="25"/>
  <c r="S12" i="25"/>
  <c r="R12" i="25"/>
  <c r="Q12" i="25"/>
  <c r="P12" i="25"/>
  <c r="O12" i="25"/>
  <c r="S10" i="25"/>
  <c r="R10" i="25"/>
  <c r="Q10" i="25"/>
  <c r="P10" i="25"/>
  <c r="O10" i="25"/>
  <c r="S9" i="25"/>
  <c r="R9" i="25"/>
  <c r="Q9" i="25"/>
  <c r="P9" i="25"/>
  <c r="O9" i="25"/>
  <c r="A1" i="25"/>
  <c r="H27" i="24"/>
  <c r="H26" i="24"/>
  <c r="H25" i="24"/>
  <c r="H21" i="24"/>
  <c r="D20" i="24"/>
  <c r="G20" i="24"/>
  <c r="F20" i="24"/>
  <c r="D19" i="24"/>
  <c r="G19" i="24"/>
  <c r="F19" i="24"/>
  <c r="H18" i="24"/>
  <c r="A1" i="24"/>
  <c r="D22" i="23"/>
  <c r="AN22" i="23" s="1"/>
  <c r="D23" i="23"/>
  <c r="D28" i="23"/>
  <c r="AN28" i="23" s="1"/>
  <c r="D29" i="23"/>
  <c r="AM29" i="23" s="1"/>
  <c r="D30" i="23"/>
  <c r="AN30" i="23" s="1"/>
  <c r="D31" i="23"/>
  <c r="AN31" i="23" s="1"/>
  <c r="D32" i="23"/>
  <c r="AN32" i="23" s="1"/>
  <c r="D33" i="23"/>
  <c r="I33" i="23" s="1"/>
  <c r="D34" i="23"/>
  <c r="AM34" i="23" s="1"/>
  <c r="D35" i="23"/>
  <c r="D36" i="23"/>
  <c r="AN36" i="23" s="1"/>
  <c r="D38" i="23"/>
  <c r="AN38" i="23" s="1"/>
  <c r="D39" i="23"/>
  <c r="AM39" i="23" s="1"/>
  <c r="AM20" i="23"/>
  <c r="O22" i="23"/>
  <c r="O23" i="23"/>
  <c r="O28" i="23"/>
  <c r="O29" i="23"/>
  <c r="O30" i="23"/>
  <c r="O31" i="23"/>
  <c r="O32" i="23"/>
  <c r="O33" i="23"/>
  <c r="O34" i="23"/>
  <c r="O35" i="23"/>
  <c r="O36" i="23"/>
  <c r="O37" i="23"/>
  <c r="O38" i="23"/>
  <c r="O39" i="23"/>
  <c r="N22" i="23"/>
  <c r="N23" i="23"/>
  <c r="N28" i="23"/>
  <c r="N29" i="23"/>
  <c r="N30" i="23"/>
  <c r="N31" i="23"/>
  <c r="N32" i="23"/>
  <c r="N33" i="23"/>
  <c r="N34" i="23"/>
  <c r="N35" i="23"/>
  <c r="N36" i="23"/>
  <c r="N37" i="23"/>
  <c r="N38" i="23"/>
  <c r="N39" i="23"/>
  <c r="M22" i="23"/>
  <c r="M23" i="23"/>
  <c r="M28" i="23"/>
  <c r="M29" i="23"/>
  <c r="M30" i="23"/>
  <c r="M31" i="23"/>
  <c r="M32" i="23"/>
  <c r="M33" i="23"/>
  <c r="M34" i="23"/>
  <c r="M35" i="23"/>
  <c r="M36" i="23"/>
  <c r="M37" i="23"/>
  <c r="M38" i="23"/>
  <c r="M39" i="23"/>
  <c r="L22" i="23"/>
  <c r="L23" i="23"/>
  <c r="L28" i="23"/>
  <c r="L29" i="23"/>
  <c r="L30" i="23"/>
  <c r="L31" i="23"/>
  <c r="L32" i="23"/>
  <c r="L33" i="23"/>
  <c r="L34" i="23"/>
  <c r="L35" i="23"/>
  <c r="L36" i="23"/>
  <c r="L37" i="23"/>
  <c r="L38" i="23"/>
  <c r="L39" i="23"/>
  <c r="P39" i="23"/>
  <c r="P38" i="23"/>
  <c r="P37" i="23"/>
  <c r="P36" i="23"/>
  <c r="P35" i="23"/>
  <c r="P34" i="23"/>
  <c r="P33" i="23"/>
  <c r="P32" i="23"/>
  <c r="P31" i="23"/>
  <c r="P30" i="23"/>
  <c r="P29" i="23"/>
  <c r="P28" i="23"/>
  <c r="P23" i="23"/>
  <c r="P22" i="23"/>
  <c r="A1" i="23"/>
  <c r="C100" i="22"/>
  <c r="C99" i="22"/>
  <c r="C96" i="22"/>
  <c r="C90" i="22"/>
  <c r="C89" i="22"/>
  <c r="C88" i="22"/>
  <c r="C87" i="22"/>
  <c r="C79" i="22"/>
  <c r="C78" i="22"/>
  <c r="C69" i="22"/>
  <c r="C68" i="22"/>
  <c r="C67" i="22"/>
  <c r="I53" i="22"/>
  <c r="F31" i="22"/>
  <c r="C31" i="22"/>
  <c r="F30" i="22"/>
  <c r="C30" i="22"/>
  <c r="F29" i="22"/>
  <c r="C29" i="22"/>
  <c r="F28" i="22"/>
  <c r="C28" i="22"/>
  <c r="I22" i="22"/>
  <c r="C22" i="22"/>
  <c r="I21" i="22"/>
  <c r="C21" i="22"/>
  <c r="I20" i="22"/>
  <c r="F20" i="22"/>
  <c r="C20" i="22"/>
  <c r="I19" i="22"/>
  <c r="F19" i="22"/>
  <c r="C19" i="22"/>
  <c r="A1" i="22"/>
  <c r="B8" i="21"/>
  <c r="B5" i="21"/>
  <c r="B6" i="21"/>
  <c r="C22" i="21" s="1"/>
  <c r="C23" i="21" s="1"/>
  <c r="B7" i="21"/>
  <c r="A1" i="21"/>
  <c r="A1" i="20"/>
  <c r="A1" i="2"/>
  <c r="A1" i="1"/>
  <c r="O34" i="25" l="1"/>
  <c r="Q30" i="25"/>
  <c r="Q29" i="25"/>
  <c r="R29" i="25" s="1"/>
  <c r="S41" i="25"/>
  <c r="O41" i="25"/>
  <c r="P30" i="25"/>
  <c r="R41" i="25"/>
  <c r="Q41" i="25"/>
  <c r="P41" i="25"/>
  <c r="E32" i="24"/>
  <c r="A1" i="26"/>
  <c r="F66" i="25"/>
  <c r="P63" i="25" s="1"/>
  <c r="G65" i="25"/>
  <c r="G62" i="25"/>
  <c r="G64" i="25"/>
  <c r="G63" i="25"/>
  <c r="H19" i="24"/>
  <c r="H20" i="24"/>
  <c r="G40" i="23"/>
  <c r="AM9" i="23"/>
  <c r="AN21" i="23"/>
  <c r="AN27" i="23"/>
  <c r="AN11" i="23"/>
  <c r="AM16" i="23"/>
  <c r="AN26" i="23"/>
  <c r="AN20" i="23"/>
  <c r="AM12" i="23"/>
  <c r="AN16" i="23"/>
  <c r="AN13" i="23"/>
  <c r="I13" i="23"/>
  <c r="I12" i="23"/>
  <c r="AN39" i="23"/>
  <c r="I9" i="23"/>
  <c r="I28" i="23"/>
  <c r="T28" i="23" s="1"/>
  <c r="AM28" i="23"/>
  <c r="AN29" i="23"/>
  <c r="AN37" i="23"/>
  <c r="W28" i="23"/>
  <c r="AM30" i="23"/>
  <c r="AM15" i="23"/>
  <c r="AN24" i="23"/>
  <c r="I32" i="23"/>
  <c r="W32" i="23" s="1"/>
  <c r="AM38" i="23"/>
  <c r="AM22" i="23"/>
  <c r="P68" i="25"/>
  <c r="W36" i="23"/>
  <c r="W37" i="23"/>
  <c r="V37" i="23"/>
  <c r="AM14" i="23"/>
  <c r="AN14" i="23"/>
  <c r="S37" i="23"/>
  <c r="U37" i="23"/>
  <c r="AM18" i="23"/>
  <c r="T37" i="23"/>
  <c r="AM37" i="23"/>
  <c r="S33" i="23"/>
  <c r="I29" i="23"/>
  <c r="T29" i="23" s="1"/>
  <c r="AM26" i="23"/>
  <c r="AN18" i="23"/>
  <c r="U32" i="23"/>
  <c r="U28" i="23"/>
  <c r="I39" i="23"/>
  <c r="U39" i="23" s="1"/>
  <c r="I36" i="23"/>
  <c r="U36" i="23" s="1"/>
  <c r="I31" i="23"/>
  <c r="S31" i="23" s="1"/>
  <c r="AM32" i="23"/>
  <c r="AM24" i="23"/>
  <c r="I21" i="23"/>
  <c r="I49" i="22"/>
  <c r="C76" i="22"/>
  <c r="C97" i="22"/>
  <c r="C77" i="22"/>
  <c r="G6" i="22"/>
  <c r="C98" i="22"/>
  <c r="C55" i="22"/>
  <c r="F41" i="22" s="1"/>
  <c r="H15" i="25"/>
  <c r="H28" i="25" s="1"/>
  <c r="D15" i="25"/>
  <c r="D28" i="25" s="1"/>
  <c r="AJ22" i="23"/>
  <c r="AZ23" i="23"/>
  <c r="AJ28" i="23"/>
  <c r="AZ29" i="23"/>
  <c r="AJ30" i="23"/>
  <c r="AZ31" i="23"/>
  <c r="AJ32" i="23"/>
  <c r="AZ33" i="23"/>
  <c r="AJ34" i="23"/>
  <c r="AZ35" i="23"/>
  <c r="AJ36" i="23"/>
  <c r="AZ37" i="23"/>
  <c r="AJ38" i="23"/>
  <c r="AZ39" i="23"/>
  <c r="AZ22" i="23"/>
  <c r="AJ39" i="23"/>
  <c r="BA22" i="23"/>
  <c r="BA28" i="23"/>
  <c r="BA30" i="23"/>
  <c r="AI32" i="23"/>
  <c r="AI34" i="23"/>
  <c r="AI36" i="23"/>
  <c r="AI38" i="23"/>
  <c r="AI23" i="23"/>
  <c r="BA23" i="23"/>
  <c r="AI29" i="23"/>
  <c r="BA29" i="23"/>
  <c r="AI31" i="23"/>
  <c r="BA31" i="23"/>
  <c r="AI33" i="23"/>
  <c r="BA33" i="23"/>
  <c r="AI35" i="23"/>
  <c r="BA35" i="23"/>
  <c r="AI37" i="23"/>
  <c r="BA37" i="23"/>
  <c r="AI39" i="23"/>
  <c r="BA39" i="23"/>
  <c r="AJ23" i="23"/>
  <c r="AZ28" i="23"/>
  <c r="AJ29" i="23"/>
  <c r="AZ30" i="23"/>
  <c r="AJ31" i="23"/>
  <c r="AZ32" i="23"/>
  <c r="AJ33" i="23"/>
  <c r="AZ34" i="23"/>
  <c r="AJ35" i="23"/>
  <c r="AZ36" i="23"/>
  <c r="AJ37" i="23"/>
  <c r="AZ38" i="23"/>
  <c r="AI22" i="23"/>
  <c r="AI28" i="23"/>
  <c r="AI30" i="23"/>
  <c r="BA32" i="23"/>
  <c r="BA34" i="23"/>
  <c r="BA36" i="23"/>
  <c r="BA38" i="23"/>
  <c r="W33" i="23"/>
  <c r="U33" i="23"/>
  <c r="V33" i="23"/>
  <c r="T33" i="23"/>
  <c r="AM35" i="23"/>
  <c r="I35" i="23"/>
  <c r="AN23" i="23"/>
  <c r="I23" i="23"/>
  <c r="D40" i="23"/>
  <c r="B22" i="21"/>
  <c r="B23" i="21" s="1"/>
  <c r="F13" i="21"/>
  <c r="E13" i="21"/>
  <c r="F14" i="21"/>
  <c r="D13" i="21"/>
  <c r="D22" i="21" s="1"/>
  <c r="D23" i="21" s="1"/>
  <c r="AY38" i="23" s="1"/>
  <c r="AM23" i="23"/>
  <c r="AN19" i="23"/>
  <c r="AM19" i="23"/>
  <c r="H11" i="23"/>
  <c r="I11" i="23" s="1"/>
  <c r="I10" i="23"/>
  <c r="AN10" i="23"/>
  <c r="AM10" i="23"/>
  <c r="E14" i="21"/>
  <c r="I38" i="23"/>
  <c r="T36" i="23"/>
  <c r="S36" i="23"/>
  <c r="V28" i="23"/>
  <c r="S28" i="23"/>
  <c r="AM27" i="23"/>
  <c r="AM33" i="23"/>
  <c r="AN33" i="23"/>
  <c r="I15" i="25"/>
  <c r="I28" i="25" s="1"/>
  <c r="G13" i="25"/>
  <c r="F13" i="25"/>
  <c r="E12" i="25"/>
  <c r="E15" i="25" s="1"/>
  <c r="E28" i="25" s="1"/>
  <c r="G29" i="25"/>
  <c r="AM8" i="23"/>
  <c r="AN35" i="23"/>
  <c r="AY33" i="23"/>
  <c r="AM17" i="23"/>
  <c r="I17" i="23"/>
  <c r="E7" i="23"/>
  <c r="E40" i="23" s="1"/>
  <c r="G70" i="25"/>
  <c r="C75" i="22"/>
  <c r="C66" i="22"/>
  <c r="T32" i="23"/>
  <c r="AM36" i="23"/>
  <c r="AM31" i="23"/>
  <c r="AN34" i="23"/>
  <c r="I34" i="23"/>
  <c r="G15" i="25"/>
  <c r="G28" i="25" s="1"/>
  <c r="I15" i="23"/>
  <c r="C48" i="25"/>
  <c r="AN25" i="23"/>
  <c r="AM25" i="23"/>
  <c r="E8" i="23"/>
  <c r="I8" i="23" s="1"/>
  <c r="I30" i="23"/>
  <c r="I22" i="23"/>
  <c r="F7" i="23"/>
  <c r="F40" i="23" s="1"/>
  <c r="F40" i="22"/>
  <c r="I40" i="22"/>
  <c r="L5" i="22"/>
  <c r="H7" i="23"/>
  <c r="L6" i="22"/>
  <c r="N41" i="25" l="1"/>
  <c r="O35" i="25" s="1"/>
  <c r="D10" i="25" s="1"/>
  <c r="D22" i="25" s="1"/>
  <c r="S30" i="25"/>
  <c r="S29" i="25"/>
  <c r="R30" i="25"/>
  <c r="G9" i="22"/>
  <c r="G10" i="22"/>
  <c r="R63" i="25"/>
  <c r="Q65" i="25"/>
  <c r="Q66" i="25"/>
  <c r="R66" i="25" s="1"/>
  <c r="P69" i="25"/>
  <c r="G61" i="25"/>
  <c r="G66" i="25" s="1"/>
  <c r="R65" i="25"/>
  <c r="AY37" i="23"/>
  <c r="AY30" i="23"/>
  <c r="AY34" i="23"/>
  <c r="E22" i="21"/>
  <c r="E23" i="21" s="1"/>
  <c r="AX22" i="23" s="1"/>
  <c r="AY29" i="23"/>
  <c r="F22" i="21"/>
  <c r="F23" i="21" s="1"/>
  <c r="W29" i="23"/>
  <c r="U31" i="23"/>
  <c r="T39" i="23"/>
  <c r="W39" i="23"/>
  <c r="S29" i="23"/>
  <c r="V29" i="23"/>
  <c r="V32" i="23"/>
  <c r="V31" i="23"/>
  <c r="S32" i="23"/>
  <c r="U29" i="23"/>
  <c r="W31" i="23"/>
  <c r="V36" i="23"/>
  <c r="V39" i="23"/>
  <c r="T31" i="23"/>
  <c r="AM40" i="23"/>
  <c r="S39" i="23"/>
  <c r="G6" i="20"/>
  <c r="F50" i="22"/>
  <c r="I50" i="22" s="1"/>
  <c r="I41" i="22"/>
  <c r="F51" i="22"/>
  <c r="I51" i="22" s="1"/>
  <c r="J51" i="22" s="1"/>
  <c r="G7" i="22"/>
  <c r="G7" i="20"/>
  <c r="G9" i="20"/>
  <c r="G8" i="20"/>
  <c r="G10" i="20"/>
  <c r="H40" i="23"/>
  <c r="I40" i="23" s="1"/>
  <c r="W35" i="23"/>
  <c r="U35" i="23"/>
  <c r="T35" i="23"/>
  <c r="V35" i="23"/>
  <c r="S35" i="23"/>
  <c r="C49" i="25"/>
  <c r="T22" i="23"/>
  <c r="S22" i="23"/>
  <c r="W22" i="23"/>
  <c r="V22" i="23"/>
  <c r="U22" i="23"/>
  <c r="J52" i="22"/>
  <c r="AN40" i="23"/>
  <c r="AH22" i="23"/>
  <c r="AY22" i="23"/>
  <c r="AH23" i="23"/>
  <c r="AY23" i="23"/>
  <c r="AH28" i="23"/>
  <c r="AY28" i="23"/>
  <c r="AH29" i="23"/>
  <c r="AH30" i="23"/>
  <c r="AH31" i="23"/>
  <c r="AY31" i="23"/>
  <c r="AH32" i="23"/>
  <c r="AY32" i="23"/>
  <c r="AH33" i="23"/>
  <c r="AH34" i="23"/>
  <c r="AH35" i="23"/>
  <c r="AY35" i="23"/>
  <c r="AH36" i="23"/>
  <c r="AY36" i="23"/>
  <c r="AH37" i="23"/>
  <c r="AH38" i="23"/>
  <c r="AH39" i="23"/>
  <c r="AY39" i="23"/>
  <c r="W23" i="23"/>
  <c r="U23" i="23"/>
  <c r="T23" i="23"/>
  <c r="V23" i="23"/>
  <c r="S23" i="23"/>
  <c r="T34" i="23"/>
  <c r="S34" i="23"/>
  <c r="W34" i="23"/>
  <c r="U34" i="23"/>
  <c r="V34" i="23"/>
  <c r="T38" i="23"/>
  <c r="V38" i="23"/>
  <c r="S38" i="23"/>
  <c r="W38" i="23"/>
  <c r="U38" i="23"/>
  <c r="AG23" i="23"/>
  <c r="AG35" i="23"/>
  <c r="AG28" i="23"/>
  <c r="AG36" i="23"/>
  <c r="AX32" i="23"/>
  <c r="AG22" i="23"/>
  <c r="AX33" i="23"/>
  <c r="T30" i="23"/>
  <c r="V30" i="23"/>
  <c r="S30" i="23"/>
  <c r="U30" i="23"/>
  <c r="W30" i="23"/>
  <c r="O37" i="25" l="1"/>
  <c r="O38" i="25" s="1"/>
  <c r="R35" i="25"/>
  <c r="P35" i="25"/>
  <c r="Q35" i="25"/>
  <c r="Q37" i="25" s="1"/>
  <c r="Q38" i="25" s="1"/>
  <c r="S35" i="25"/>
  <c r="I10" i="25" s="1"/>
  <c r="I22" i="25" s="1"/>
  <c r="H9" i="22"/>
  <c r="H6" i="22"/>
  <c r="Q68" i="25"/>
  <c r="R68" i="25" s="1"/>
  <c r="J75" i="25" s="1"/>
  <c r="P75" i="25" s="1"/>
  <c r="P77" i="25" s="1"/>
  <c r="Q69" i="25"/>
  <c r="R69" i="25" s="1"/>
  <c r="AX23" i="23"/>
  <c r="AG38" i="23"/>
  <c r="AG37" i="23"/>
  <c r="AX35" i="23"/>
  <c r="AX34" i="23"/>
  <c r="AG30" i="23"/>
  <c r="AG29" i="23"/>
  <c r="AX39" i="23"/>
  <c r="AX31" i="23"/>
  <c r="AX38" i="23"/>
  <c r="AX30" i="23"/>
  <c r="AG34" i="23"/>
  <c r="AG33" i="23"/>
  <c r="AX37" i="23"/>
  <c r="AX29" i="23"/>
  <c r="AX36" i="23"/>
  <c r="AX28" i="23"/>
  <c r="AG32" i="23"/>
  <c r="AG39" i="23"/>
  <c r="AG31" i="23"/>
  <c r="G11" i="20"/>
  <c r="H10" i="20" s="1"/>
  <c r="J53" i="22"/>
  <c r="J49" i="22"/>
  <c r="G8" i="22"/>
  <c r="H8" i="22" s="1"/>
  <c r="F17" i="24" s="1"/>
  <c r="J50" i="22"/>
  <c r="R37" i="25"/>
  <c r="R38" i="25" s="1"/>
  <c r="H10" i="25"/>
  <c r="H22" i="25" s="1"/>
  <c r="E10" i="25"/>
  <c r="E22" i="25" s="1"/>
  <c r="P37" i="25"/>
  <c r="P38" i="25" s="1"/>
  <c r="D30" i="25"/>
  <c r="D23" i="25"/>
  <c r="D24" i="25" s="1"/>
  <c r="G10" i="25" l="1"/>
  <c r="G22" i="25" s="1"/>
  <c r="S37" i="25"/>
  <c r="S38" i="25" s="1"/>
  <c r="S39" i="25" s="1"/>
  <c r="D17" i="24"/>
  <c r="C17" i="24"/>
  <c r="H7" i="22"/>
  <c r="E17" i="24" s="1"/>
  <c r="H10" i="22"/>
  <c r="G17" i="24" s="1"/>
  <c r="H8" i="20"/>
  <c r="F22" i="24" s="1"/>
  <c r="M19" i="23" s="1"/>
  <c r="T19" i="23" s="1"/>
  <c r="AA19" i="23" s="1"/>
  <c r="H6" i="20"/>
  <c r="H9" i="20"/>
  <c r="G22" i="24" s="1"/>
  <c r="L10" i="23" s="1"/>
  <c r="S10" i="23" s="1"/>
  <c r="Z10" i="23" s="1"/>
  <c r="H7" i="20"/>
  <c r="E22" i="24" s="1"/>
  <c r="N12" i="23" s="1"/>
  <c r="U12" i="23" s="1"/>
  <c r="AB12" i="23" s="1"/>
  <c r="G48" i="25"/>
  <c r="G47" i="25"/>
  <c r="E7" i="26" s="1"/>
  <c r="H30" i="25"/>
  <c r="H23" i="25"/>
  <c r="H24" i="25" s="1"/>
  <c r="E30" i="25"/>
  <c r="E23" i="25"/>
  <c r="E24" i="25" s="1"/>
  <c r="G30" i="25"/>
  <c r="G23" i="25"/>
  <c r="G24" i="25" s="1"/>
  <c r="M15" i="23"/>
  <c r="T15" i="23" s="1"/>
  <c r="AA15" i="23" s="1"/>
  <c r="I30" i="25"/>
  <c r="I23" i="25"/>
  <c r="I24" i="25" s="1"/>
  <c r="N27" i="23" l="1"/>
  <c r="U27" i="23" s="1"/>
  <c r="AB27" i="23" s="1"/>
  <c r="AS27" i="23" s="1"/>
  <c r="AZ27" i="23" s="1"/>
  <c r="L26" i="23"/>
  <c r="S26" i="23" s="1"/>
  <c r="Z26" i="23" s="1"/>
  <c r="AG26" i="23" s="1"/>
  <c r="L14" i="23"/>
  <c r="S14" i="23" s="1"/>
  <c r="Z14" i="23" s="1"/>
  <c r="AQ14" i="23" s="1"/>
  <c r="AX14" i="23" s="1"/>
  <c r="L24" i="23"/>
  <c r="S24" i="23" s="1"/>
  <c r="Z24" i="23" s="1"/>
  <c r="AQ24" i="23" s="1"/>
  <c r="AX24" i="23" s="1"/>
  <c r="L13" i="23"/>
  <c r="S13" i="23" s="1"/>
  <c r="Z13" i="23" s="1"/>
  <c r="AG13" i="23" s="1"/>
  <c r="L25" i="23"/>
  <c r="S25" i="23" s="1"/>
  <c r="Z25" i="23" s="1"/>
  <c r="AQ25" i="23" s="1"/>
  <c r="AX25" i="23" s="1"/>
  <c r="L27" i="23"/>
  <c r="S27" i="23" s="1"/>
  <c r="Z27" i="23" s="1"/>
  <c r="AG27" i="23" s="1"/>
  <c r="M20" i="23"/>
  <c r="T20" i="23" s="1"/>
  <c r="AA20" i="23" s="1"/>
  <c r="AR20" i="23" s="1"/>
  <c r="AY20" i="23" s="1"/>
  <c r="M12" i="23"/>
  <c r="T12" i="23" s="1"/>
  <c r="AA12" i="23" s="1"/>
  <c r="AH12" i="23" s="1"/>
  <c r="L20" i="23"/>
  <c r="S20" i="23" s="1"/>
  <c r="Z20" i="23" s="1"/>
  <c r="AQ20" i="23" s="1"/>
  <c r="AX20" i="23" s="1"/>
  <c r="L12" i="23"/>
  <c r="S12" i="23" s="1"/>
  <c r="Z12" i="23" s="1"/>
  <c r="AQ12" i="23" s="1"/>
  <c r="AX12" i="23" s="1"/>
  <c r="L7" i="23"/>
  <c r="S7" i="23" s="1"/>
  <c r="Z7" i="23" s="1"/>
  <c r="M25" i="23"/>
  <c r="T25" i="23" s="1"/>
  <c r="AA25" i="23" s="1"/>
  <c r="AR25" i="23" s="1"/>
  <c r="AY25" i="23" s="1"/>
  <c r="L16" i="23"/>
  <c r="S16" i="23" s="1"/>
  <c r="Z16" i="23" s="1"/>
  <c r="AQ16" i="23" s="1"/>
  <c r="AX16" i="23" s="1"/>
  <c r="L17" i="23"/>
  <c r="S17" i="23" s="1"/>
  <c r="Z17" i="23" s="1"/>
  <c r="AG17" i="23" s="1"/>
  <c r="L18" i="23"/>
  <c r="S18" i="23" s="1"/>
  <c r="Z18" i="23" s="1"/>
  <c r="AQ18" i="23" s="1"/>
  <c r="AX18" i="23" s="1"/>
  <c r="L19" i="23"/>
  <c r="S19" i="23" s="1"/>
  <c r="Z19" i="23" s="1"/>
  <c r="AQ19" i="23" s="1"/>
  <c r="AX19" i="23" s="1"/>
  <c r="M14" i="23"/>
  <c r="T14" i="23" s="1"/>
  <c r="AA14" i="23" s="1"/>
  <c r="AR14" i="23" s="1"/>
  <c r="AY14" i="23" s="1"/>
  <c r="N8" i="23"/>
  <c r="U8" i="23" s="1"/>
  <c r="AB8" i="23" s="1"/>
  <c r="AI8" i="23" s="1"/>
  <c r="H47" i="25"/>
  <c r="D7" i="26" s="1"/>
  <c r="H48" i="25"/>
  <c r="E47" i="25"/>
  <c r="F7" i="26" s="1"/>
  <c r="E48" i="25"/>
  <c r="J47" i="25"/>
  <c r="B6" i="26" s="1"/>
  <c r="J48" i="25"/>
  <c r="I47" i="25"/>
  <c r="C7" i="26" s="1"/>
  <c r="I48" i="25"/>
  <c r="N25" i="23"/>
  <c r="U25" i="23" s="1"/>
  <c r="AB25" i="23" s="1"/>
  <c r="AS25" i="23" s="1"/>
  <c r="AZ25" i="23" s="1"/>
  <c r="N19" i="23"/>
  <c r="U19" i="23" s="1"/>
  <c r="AB19" i="23" s="1"/>
  <c r="AS19" i="23" s="1"/>
  <c r="AZ19" i="23" s="1"/>
  <c r="N24" i="23"/>
  <c r="U24" i="23" s="1"/>
  <c r="AB24" i="23" s="1"/>
  <c r="AI24" i="23" s="1"/>
  <c r="N16" i="23"/>
  <c r="U16" i="23" s="1"/>
  <c r="AB16" i="23" s="1"/>
  <c r="AI16" i="23" s="1"/>
  <c r="L11" i="23"/>
  <c r="S11" i="23" s="1"/>
  <c r="Z11" i="23" s="1"/>
  <c r="AG11" i="23" s="1"/>
  <c r="L21" i="23"/>
  <c r="S21" i="23" s="1"/>
  <c r="Z21" i="23" s="1"/>
  <c r="AG21" i="23" s="1"/>
  <c r="L8" i="23"/>
  <c r="S8" i="23" s="1"/>
  <c r="Z8" i="23" s="1"/>
  <c r="AG8" i="23" s="1"/>
  <c r="L9" i="23"/>
  <c r="S9" i="23" s="1"/>
  <c r="Z9" i="23" s="1"/>
  <c r="AG9" i="23" s="1"/>
  <c r="L15" i="23"/>
  <c r="S15" i="23" s="1"/>
  <c r="Z15" i="23" s="1"/>
  <c r="AG15" i="23" s="1"/>
  <c r="N21" i="23"/>
  <c r="U21" i="23" s="1"/>
  <c r="AB21" i="23" s="1"/>
  <c r="AI21" i="23" s="1"/>
  <c r="N20" i="23"/>
  <c r="U20" i="23" s="1"/>
  <c r="AB20" i="23" s="1"/>
  <c r="AI20" i="23" s="1"/>
  <c r="N11" i="23"/>
  <c r="U11" i="23" s="1"/>
  <c r="AB11" i="23" s="1"/>
  <c r="AS11" i="23" s="1"/>
  <c r="AZ11" i="23" s="1"/>
  <c r="M24" i="23"/>
  <c r="T24" i="23" s="1"/>
  <c r="AA24" i="23" s="1"/>
  <c r="AH24" i="23" s="1"/>
  <c r="M8" i="23"/>
  <c r="T8" i="23" s="1"/>
  <c r="AA8" i="23" s="1"/>
  <c r="AH8" i="23" s="1"/>
  <c r="M10" i="23"/>
  <c r="T10" i="23" s="1"/>
  <c r="AA10" i="23" s="1"/>
  <c r="AH10" i="23" s="1"/>
  <c r="N26" i="23"/>
  <c r="U26" i="23" s="1"/>
  <c r="AB26" i="23" s="1"/>
  <c r="AS26" i="23" s="1"/>
  <c r="AZ26" i="23" s="1"/>
  <c r="N17" i="23"/>
  <c r="U17" i="23" s="1"/>
  <c r="AB17" i="23" s="1"/>
  <c r="AI17" i="23" s="1"/>
  <c r="N15" i="23"/>
  <c r="U15" i="23" s="1"/>
  <c r="AB15" i="23" s="1"/>
  <c r="AS15" i="23" s="1"/>
  <c r="AZ15" i="23" s="1"/>
  <c r="N18" i="23"/>
  <c r="U18" i="23" s="1"/>
  <c r="AB18" i="23" s="1"/>
  <c r="AS18" i="23" s="1"/>
  <c r="AZ18" i="23" s="1"/>
  <c r="N13" i="23"/>
  <c r="U13" i="23" s="1"/>
  <c r="AB13" i="23" s="1"/>
  <c r="M16" i="23"/>
  <c r="T16" i="23" s="1"/>
  <c r="AA16" i="23" s="1"/>
  <c r="AH16" i="23" s="1"/>
  <c r="M17" i="23"/>
  <c r="T17" i="23" s="1"/>
  <c r="AA17" i="23" s="1"/>
  <c r="AH17" i="23" s="1"/>
  <c r="M26" i="23"/>
  <c r="T26" i="23" s="1"/>
  <c r="AA26" i="23" s="1"/>
  <c r="AR26" i="23" s="1"/>
  <c r="AY26" i="23" s="1"/>
  <c r="M27" i="23"/>
  <c r="T27" i="23" s="1"/>
  <c r="AA27" i="23" s="1"/>
  <c r="AR27" i="23" s="1"/>
  <c r="AY27" i="23" s="1"/>
  <c r="M7" i="23"/>
  <c r="T7" i="23" s="1"/>
  <c r="AA7" i="23" s="1"/>
  <c r="M21" i="23"/>
  <c r="T21" i="23" s="1"/>
  <c r="AA21" i="23" s="1"/>
  <c r="AH21" i="23" s="1"/>
  <c r="M9" i="23"/>
  <c r="T9" i="23" s="1"/>
  <c r="AA9" i="23" s="1"/>
  <c r="AR9" i="23" s="1"/>
  <c r="AY9" i="23" s="1"/>
  <c r="N14" i="23"/>
  <c r="U14" i="23" s="1"/>
  <c r="AB14" i="23" s="1"/>
  <c r="AS14" i="23" s="1"/>
  <c r="AZ14" i="23" s="1"/>
  <c r="N9" i="23"/>
  <c r="U9" i="23" s="1"/>
  <c r="AB9" i="23" s="1"/>
  <c r="AI9" i="23" s="1"/>
  <c r="N7" i="23"/>
  <c r="U7" i="23" s="1"/>
  <c r="AB7" i="23" s="1"/>
  <c r="N10" i="23"/>
  <c r="U10" i="23" s="1"/>
  <c r="AB10" i="23" s="1"/>
  <c r="AS10" i="23" s="1"/>
  <c r="AZ10" i="23" s="1"/>
  <c r="M11" i="23"/>
  <c r="T11" i="23" s="1"/>
  <c r="AA11" i="23" s="1"/>
  <c r="AR11" i="23" s="1"/>
  <c r="AY11" i="23" s="1"/>
  <c r="M13" i="23"/>
  <c r="T13" i="23" s="1"/>
  <c r="AA13" i="23" s="1"/>
  <c r="M18" i="23"/>
  <c r="T18" i="23" s="1"/>
  <c r="AA18" i="23" s="1"/>
  <c r="AH18" i="23" s="1"/>
  <c r="C22" i="24"/>
  <c r="D22" i="24"/>
  <c r="H11" i="20"/>
  <c r="E6" i="26"/>
  <c r="L48" i="25"/>
  <c r="C47" i="25"/>
  <c r="L47" i="25" s="1"/>
  <c r="AS12" i="23"/>
  <c r="AZ12" i="23" s="1"/>
  <c r="AI12" i="23"/>
  <c r="AR15" i="23"/>
  <c r="AY15" i="23" s="1"/>
  <c r="AH15" i="23"/>
  <c r="AQ10" i="23"/>
  <c r="AX10" i="23" s="1"/>
  <c r="AG10" i="23"/>
  <c r="AR19" i="23"/>
  <c r="AY19" i="23" s="1"/>
  <c r="AH19" i="23"/>
  <c r="AI27" i="23" l="1"/>
  <c r="AG24" i="23"/>
  <c r="O47" i="25"/>
  <c r="C51" i="25"/>
  <c r="AS8" i="23"/>
  <c r="AZ8" i="23" s="1"/>
  <c r="AQ26" i="23"/>
  <c r="AX26" i="23" s="1"/>
  <c r="AQ27" i="23"/>
  <c r="AX27" i="23" s="1"/>
  <c r="AI11" i="23"/>
  <c r="AG12" i="23"/>
  <c r="AG14" i="23"/>
  <c r="AQ17" i="23"/>
  <c r="AX17" i="23" s="1"/>
  <c r="AQ13" i="23"/>
  <c r="AX13" i="23" s="1"/>
  <c r="AR24" i="23"/>
  <c r="AY24" i="23" s="1"/>
  <c r="AR12" i="23"/>
  <c r="AY12" i="23" s="1"/>
  <c r="AQ11" i="23"/>
  <c r="AX11" i="23" s="1"/>
  <c r="AH25" i="23"/>
  <c r="AG16" i="23"/>
  <c r="AS24" i="23"/>
  <c r="AZ24" i="23" s="1"/>
  <c r="AI19" i="23"/>
  <c r="AG25" i="23"/>
  <c r="AG19" i="23"/>
  <c r="AH20" i="23"/>
  <c r="AI25" i="23"/>
  <c r="AG18" i="23"/>
  <c r="AQ15" i="23"/>
  <c r="AX15" i="23" s="1"/>
  <c r="AQ21" i="23"/>
  <c r="AX21" i="23" s="1"/>
  <c r="AH14" i="23"/>
  <c r="AG20" i="23"/>
  <c r="AQ8" i="23"/>
  <c r="AX8" i="23" s="1"/>
  <c r="AR17" i="23"/>
  <c r="AY17" i="23" s="1"/>
  <c r="Z48" i="23"/>
  <c r="AS21" i="23"/>
  <c r="AZ21" i="23" s="1"/>
  <c r="C6" i="26"/>
  <c r="N48" i="25"/>
  <c r="F6" i="26"/>
  <c r="K48" i="25"/>
  <c r="AS16" i="23"/>
  <c r="AZ16" i="23" s="1"/>
  <c r="AS20" i="23"/>
  <c r="AZ20" i="23" s="1"/>
  <c r="B7" i="26"/>
  <c r="O48" i="25"/>
  <c r="D6" i="26"/>
  <c r="M48" i="25"/>
  <c r="S40" i="23"/>
  <c r="AI18" i="23"/>
  <c r="AQ9" i="23"/>
  <c r="AX9" i="23" s="1"/>
  <c r="AR18" i="23"/>
  <c r="AY18" i="23" s="1"/>
  <c r="AI15" i="23"/>
  <c r="AR21" i="23"/>
  <c r="AY21" i="23" s="1"/>
  <c r="AS17" i="23"/>
  <c r="AZ17" i="23" s="1"/>
  <c r="AR8" i="23"/>
  <c r="AY8" i="23" s="1"/>
  <c r="AR10" i="23"/>
  <c r="AY10" i="23" s="1"/>
  <c r="AI10" i="23"/>
  <c r="AH9" i="23"/>
  <c r="AH26" i="23"/>
  <c r="AR16" i="23"/>
  <c r="AY16" i="23" s="1"/>
  <c r="AH27" i="23"/>
  <c r="AI26" i="23"/>
  <c r="AB48" i="23"/>
  <c r="AI13" i="23"/>
  <c r="AH11" i="23"/>
  <c r="AI14" i="23"/>
  <c r="AS13" i="23"/>
  <c r="AZ13" i="23" s="1"/>
  <c r="AS9" i="23"/>
  <c r="AZ9" i="23" s="1"/>
  <c r="AA48" i="23"/>
  <c r="T40" i="23"/>
  <c r="AR13" i="23"/>
  <c r="AY13" i="23" s="1"/>
  <c r="U40" i="23"/>
  <c r="P24" i="23"/>
  <c r="W24" i="23" s="1"/>
  <c r="P7" i="23"/>
  <c r="W7" i="23" s="1"/>
  <c r="P11" i="23"/>
  <c r="W11" i="23" s="1"/>
  <c r="P16" i="23"/>
  <c r="W16" i="23" s="1"/>
  <c r="P21" i="23"/>
  <c r="W21" i="23" s="1"/>
  <c r="P9" i="23"/>
  <c r="W9" i="23" s="1"/>
  <c r="P13" i="23"/>
  <c r="W13" i="23" s="1"/>
  <c r="P10" i="23"/>
  <c r="W10" i="23" s="1"/>
  <c r="P17" i="23"/>
  <c r="W17" i="23" s="1"/>
  <c r="P25" i="23"/>
  <c r="W25" i="23" s="1"/>
  <c r="P8" i="23"/>
  <c r="W8" i="23" s="1"/>
  <c r="P12" i="23"/>
  <c r="W12" i="23" s="1"/>
  <c r="P20" i="23"/>
  <c r="W20" i="23" s="1"/>
  <c r="P14" i="23"/>
  <c r="W14" i="23" s="1"/>
  <c r="P26" i="23"/>
  <c r="W26" i="23" s="1"/>
  <c r="P15" i="23"/>
  <c r="W15" i="23" s="1"/>
  <c r="H22" i="24"/>
  <c r="P27" i="23"/>
  <c r="W27" i="23" s="1"/>
  <c r="P19" i="23"/>
  <c r="W19" i="23" s="1"/>
  <c r="P18" i="23"/>
  <c r="W18" i="23" s="1"/>
  <c r="AH13" i="23"/>
  <c r="O24" i="23"/>
  <c r="V24" i="23" s="1"/>
  <c r="O7" i="23"/>
  <c r="V7" i="23" s="1"/>
  <c r="O11" i="23"/>
  <c r="V11" i="23" s="1"/>
  <c r="O15" i="23"/>
  <c r="V15" i="23" s="1"/>
  <c r="O19" i="23"/>
  <c r="V19" i="23" s="1"/>
  <c r="O26" i="23"/>
  <c r="V26" i="23" s="1"/>
  <c r="AC26" i="23" s="1"/>
  <c r="AT26" i="23" s="1"/>
  <c r="BA26" i="23" s="1"/>
  <c r="O13" i="23"/>
  <c r="V13" i="23" s="1"/>
  <c r="O21" i="23"/>
  <c r="V21" i="23" s="1"/>
  <c r="AC21" i="23" s="1"/>
  <c r="AJ21" i="23" s="1"/>
  <c r="O27" i="23"/>
  <c r="V27" i="23" s="1"/>
  <c r="AC27" i="23" s="1"/>
  <c r="AT27" i="23" s="1"/>
  <c r="BA27" i="23" s="1"/>
  <c r="O14" i="23"/>
  <c r="V14" i="23" s="1"/>
  <c r="O25" i="23"/>
  <c r="V25" i="23" s="1"/>
  <c r="O8" i="23"/>
  <c r="V8" i="23" s="1"/>
  <c r="O12" i="23"/>
  <c r="V12" i="23" s="1"/>
  <c r="O16" i="23"/>
  <c r="V16" i="23" s="1"/>
  <c r="O20" i="23"/>
  <c r="V20" i="23" s="1"/>
  <c r="O9" i="23"/>
  <c r="V9" i="23" s="1"/>
  <c r="O17" i="23"/>
  <c r="V17" i="23" s="1"/>
  <c r="O10" i="23"/>
  <c r="V10" i="23" s="1"/>
  <c r="O18" i="23"/>
  <c r="V18" i="23" s="1"/>
  <c r="AC18" i="23" s="1"/>
  <c r="AJ18" i="23" s="1"/>
  <c r="K47" i="25"/>
  <c r="M47" i="25"/>
  <c r="N47" i="25"/>
  <c r="AH7" i="23"/>
  <c r="AA47" i="23"/>
  <c r="AA49" i="23" s="1"/>
  <c r="E10" i="26" s="1"/>
  <c r="AR7" i="23"/>
  <c r="AA41" i="23"/>
  <c r="AQ7" i="23"/>
  <c r="AG7" i="23"/>
  <c r="Z47" i="23"/>
  <c r="Z41" i="23"/>
  <c r="AS7" i="23"/>
  <c r="AI7" i="23"/>
  <c r="AB47" i="23"/>
  <c r="AB41" i="23"/>
  <c r="AG41" i="23" l="1"/>
  <c r="Z49" i="23"/>
  <c r="F10" i="26" s="1"/>
  <c r="AC15" i="23"/>
  <c r="AT15" i="23" s="1"/>
  <c r="BA15" i="23" s="1"/>
  <c r="AC17" i="23"/>
  <c r="AT17" i="23" s="1"/>
  <c r="BA17" i="23" s="1"/>
  <c r="AC12" i="23"/>
  <c r="AJ12" i="23" s="1"/>
  <c r="AD25" i="23"/>
  <c r="AU25" i="23" s="1"/>
  <c r="AC24" i="23"/>
  <c r="AT24" i="23" s="1"/>
  <c r="BA24" i="23" s="1"/>
  <c r="AD9" i="23"/>
  <c r="AU9" i="23" s="1"/>
  <c r="AT21" i="23"/>
  <c r="BA21" i="23" s="1"/>
  <c r="AC20" i="23"/>
  <c r="AT20" i="23" s="1"/>
  <c r="BA20" i="23" s="1"/>
  <c r="AD15" i="23"/>
  <c r="AU15" i="23" s="1"/>
  <c r="AC10" i="23"/>
  <c r="AT10" i="23" s="1"/>
  <c r="BA10" i="23" s="1"/>
  <c r="AC16" i="23"/>
  <c r="AT16" i="23" s="1"/>
  <c r="BA16" i="23" s="1"/>
  <c r="AC14" i="23"/>
  <c r="AJ14" i="23" s="1"/>
  <c r="AD19" i="23"/>
  <c r="AU19" i="23" s="1"/>
  <c r="AD8" i="23"/>
  <c r="AU8" i="23" s="1"/>
  <c r="AD13" i="23"/>
  <c r="AU13" i="23" s="1"/>
  <c r="AD11" i="23"/>
  <c r="AU11" i="23" s="1"/>
  <c r="AB49" i="23"/>
  <c r="D10" i="26" s="1"/>
  <c r="AH41" i="23"/>
  <c r="AJ27" i="23"/>
  <c r="AT18" i="23"/>
  <c r="BA18" i="23" s="1"/>
  <c r="AI41" i="23"/>
  <c r="V40" i="23"/>
  <c r="AD14" i="23"/>
  <c r="AD7" i="23"/>
  <c r="AC7" i="23"/>
  <c r="AJ26" i="23"/>
  <c r="AC9" i="23"/>
  <c r="AC8" i="23"/>
  <c r="AD20" i="23"/>
  <c r="AU20" i="23" s="1"/>
  <c r="AD17" i="23"/>
  <c r="AU17" i="23" s="1"/>
  <c r="AD21" i="23"/>
  <c r="AU21" i="23" s="1"/>
  <c r="AD24" i="23"/>
  <c r="AU24" i="23" s="1"/>
  <c r="AD26" i="23"/>
  <c r="AU26" i="23" s="1"/>
  <c r="AC19" i="23"/>
  <c r="AD27" i="23"/>
  <c r="AU27" i="23" s="1"/>
  <c r="AC25" i="23"/>
  <c r="AC13" i="23"/>
  <c r="AC11" i="23"/>
  <c r="AD18" i="23"/>
  <c r="AU18" i="23" s="1"/>
  <c r="AD12" i="23"/>
  <c r="AU12" i="23" s="1"/>
  <c r="AD10" i="23"/>
  <c r="AU10" i="23" s="1"/>
  <c r="AD16" i="23"/>
  <c r="AU16" i="23" s="1"/>
  <c r="AY7" i="23"/>
  <c r="AY41" i="23" s="1"/>
  <c r="AR41" i="23"/>
  <c r="AS41" i="23"/>
  <c r="AZ7" i="23"/>
  <c r="AZ41" i="23" s="1"/>
  <c r="AA50" i="23"/>
  <c r="AB50" i="23"/>
  <c r="Z50" i="23"/>
  <c r="AX7" i="23"/>
  <c r="AX41" i="23" s="1"/>
  <c r="AQ41" i="23"/>
  <c r="AJ20" i="23" l="1"/>
  <c r="AT12" i="23"/>
  <c r="BA12" i="23" s="1"/>
  <c r="AJ10" i="23"/>
  <c r="AJ24" i="23"/>
  <c r="AJ17" i="23"/>
  <c r="AC41" i="23"/>
  <c r="AJ15" i="23"/>
  <c r="AJ7" i="23"/>
  <c r="AT14" i="23"/>
  <c r="BA14" i="23" s="1"/>
  <c r="AJ16" i="23"/>
  <c r="AT7" i="23"/>
  <c r="BA7" i="23" s="1"/>
  <c r="AC47" i="23"/>
  <c r="AT25" i="23"/>
  <c r="BA25" i="23" s="1"/>
  <c r="AJ25" i="23"/>
  <c r="AT8" i="23"/>
  <c r="BA8" i="23" s="1"/>
  <c r="AJ8" i="23"/>
  <c r="AJ9" i="23"/>
  <c r="AT9" i="23"/>
  <c r="BA9" i="23" s="1"/>
  <c r="AT11" i="23"/>
  <c r="BA11" i="23" s="1"/>
  <c r="AJ11" i="23"/>
  <c r="AT19" i="23"/>
  <c r="BA19" i="23" s="1"/>
  <c r="AJ19" i="23"/>
  <c r="AU14" i="23"/>
  <c r="AD48" i="23"/>
  <c r="AT13" i="23"/>
  <c r="BA13" i="23" s="1"/>
  <c r="AC48" i="23"/>
  <c r="AJ13" i="23"/>
  <c r="AD41" i="23"/>
  <c r="AU7" i="23"/>
  <c r="AD47" i="23"/>
  <c r="Z40" i="23" l="1"/>
  <c r="Z42" i="23" s="1"/>
  <c r="AC49" i="23"/>
  <c r="C10" i="26" s="1"/>
  <c r="AC50" i="23"/>
  <c r="AD50" i="23"/>
  <c r="AJ41" i="23"/>
  <c r="AG40" i="23" s="1"/>
  <c r="BA41" i="23"/>
  <c r="AX40" i="23" s="1"/>
  <c r="BA42" i="23" s="1"/>
  <c r="AU41" i="23"/>
  <c r="AD49" i="23"/>
  <c r="B10" i="26" s="1"/>
  <c r="AT41" i="23"/>
  <c r="AB42" i="23" l="1"/>
  <c r="AD42" i="23"/>
  <c r="AC42" i="23"/>
  <c r="AA42" i="23"/>
  <c r="AQ40" i="23"/>
  <c r="AQ42" i="23" s="1"/>
  <c r="E49" i="25" s="1"/>
  <c r="AG42" i="23"/>
  <c r="AI42" i="23"/>
  <c r="AH42" i="23"/>
  <c r="AJ42" i="23"/>
  <c r="AZ42" i="23"/>
  <c r="AX42" i="23"/>
  <c r="AY42" i="23"/>
  <c r="AT42" i="23" l="1"/>
  <c r="I49" i="25" s="1"/>
  <c r="N49" i="25" s="1"/>
  <c r="N51" i="25" s="1"/>
  <c r="AS42" i="23"/>
  <c r="H49" i="25" s="1"/>
  <c r="D5" i="26" s="1"/>
  <c r="AR42" i="23"/>
  <c r="G49" i="25" s="1"/>
  <c r="E5" i="26" s="1"/>
  <c r="AU42" i="23"/>
  <c r="J49" i="25" s="1"/>
  <c r="F5" i="26"/>
  <c r="K49" i="25"/>
  <c r="K51" i="25" s="1"/>
  <c r="C5" i="26" l="1"/>
  <c r="M49" i="25"/>
  <c r="M51" i="25" s="1"/>
  <c r="O49" i="25"/>
  <c r="O51" i="25" s="1"/>
  <c r="B5" i="26"/>
  <c r="L49" i="25"/>
  <c r="L51" i="25" s="1"/>
  <c r="O52" i="25" l="1"/>
  <c r="B8" i="26" s="1"/>
  <c r="L52" i="25"/>
  <c r="N52" i="25"/>
  <c r="M52" i="25"/>
  <c r="K52" i="25"/>
  <c r="D8" i="26" l="1"/>
  <c r="H75" i="25"/>
  <c r="N75" i="25" s="1"/>
  <c r="N77" i="25" s="1"/>
  <c r="F8" i="26"/>
  <c r="F75" i="25"/>
  <c r="C8" i="26"/>
  <c r="I75" i="25"/>
  <c r="O75" i="25" s="1"/>
  <c r="O77" i="25" s="1"/>
  <c r="E8" i="26"/>
  <c r="G75" i="25"/>
  <c r="M75" i="25" s="1"/>
  <c r="M77" i="25" s="1"/>
  <c r="L75" i="25" l="1"/>
  <c r="L77" i="25" s="1"/>
  <c r="R77" i="25" s="1"/>
  <c r="O81" i="25" s="1"/>
  <c r="C9" i="26" s="1"/>
  <c r="D75" i="25"/>
  <c r="S81" i="25" l="1"/>
  <c r="B9" i="26" s="1"/>
  <c r="B13" i="26" s="1"/>
  <c r="C6" i="27" s="1"/>
  <c r="M81" i="25"/>
  <c r="E9" i="26" s="1"/>
  <c r="L81" i="25"/>
  <c r="P81" i="25"/>
  <c r="G9" i="26" s="1"/>
  <c r="N81" i="25"/>
  <c r="D9" i="26" s="1"/>
  <c r="D13" i="26" l="1"/>
  <c r="E6" i="27" s="1"/>
  <c r="E13" i="26"/>
  <c r="F6" i="27" s="1"/>
  <c r="F9" i="26"/>
  <c r="R81" i="25"/>
  <c r="C13" i="26"/>
  <c r="D6" i="27" s="1"/>
</calcChain>
</file>

<file path=xl/sharedStrings.xml><?xml version="1.0" encoding="utf-8"?>
<sst xmlns="http://schemas.openxmlformats.org/spreadsheetml/2006/main" count="4164" uniqueCount="1086">
  <si>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</si>
  <si>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</si>
  <si>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</si>
  <si>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</si>
  <si>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</si>
  <si>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</si>
  <si>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</si>
  <si>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</si>
  <si>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</si>
  <si>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</si>
  <si>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</si>
  <si>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</si>
  <si>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</si>
  <si>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</si>
  <si>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</si>
  <si>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</si>
  <si>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</si>
  <si>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</si>
  <si>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</si>
  <si>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</si>
  <si>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</si>
  <si>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</si>
  <si>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</si>
  <si>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</si>
  <si>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</si>
  <si>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</si>
  <si>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</si>
  <si>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</si>
  <si>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</si>
  <si>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</si>
  <si>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</si>
  <si>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</si>
  <si>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</si>
  <si>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</si>
  <si>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</si>
  <si>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</si>
  <si>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</si>
  <si>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</si>
  <si>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</si>
  <si>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</si>
  <si>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</si>
  <si>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</si>
  <si>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</si>
  <si>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</si>
  <si>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</si>
  <si>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</si>
  <si>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</si>
  <si>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</si>
  <si>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</si>
  <si>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</si>
  <si>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</si>
  <si>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</si>
  <si>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</si>
  <si>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</si>
  <si>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</si>
  <si>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</si>
  <si>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</si>
  <si>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</si>
  <si>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</si>
  <si>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</si>
  <si>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</si>
  <si>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</si>
  <si>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</si>
  <si>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</si>
  <si>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</si>
  <si>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</si>
  <si>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</si>
  <si>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</si>
  <si>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</si>
  <si>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</si>
  <si>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</si>
  <si>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</si>
  <si>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</si>
  <si>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</si>
  <si>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</si>
  <si>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</si>
  <si>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</si>
  <si>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</si>
  <si>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</si>
  <si>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</si>
  <si>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</si>
  <si>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</si>
  <si>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</si>
  <si>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</si>
  <si>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</si>
  <si>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</si>
  <si>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</si>
  <si>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</si>
  <si>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</si>
  <si>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</si>
  <si>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</si>
  <si>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</si>
  <si>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</si>
  <si>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</si>
  <si>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</si>
  <si>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</si>
  <si>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</si>
  <si>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</si>
  <si>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</si>
  <si>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</si>
  <si>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</si>
  <si>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</si>
  <si>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</si>
  <si>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</si>
  <si>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</si>
  <si>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</si>
  <si>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</si>
  <si>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</si>
  <si>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</si>
  <si>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</si>
  <si>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</si>
  <si>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</si>
  <si>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</si>
  <si>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</si>
  <si>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</si>
  <si>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</si>
  <si>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</si>
  <si>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</si>
  <si>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</si>
  <si>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</si>
  <si>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</si>
  <si>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</si>
  <si>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</si>
  <si>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</si>
  <si>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</si>
  <si>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</si>
  <si>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</si>
  <si>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</si>
  <si>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</si>
  <si>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</si>
  <si>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</si>
  <si>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</si>
  <si>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</si>
  <si>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</si>
  <si>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</si>
  <si>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</si>
  <si>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</si>
  <si>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</si>
  <si>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</si>
  <si>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</si>
  <si>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</si>
  <si>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</si>
  <si>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</si>
  <si>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</si>
  <si>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</si>
  <si>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</si>
  <si>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</si>
  <si>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</si>
  <si>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</si>
  <si>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</si>
  <si>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</si>
  <si>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</si>
  <si>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</si>
  <si>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</si>
  <si>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</si>
  <si>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</si>
  <si>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</si>
  <si>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</si>
  <si>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</si>
  <si>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</si>
  <si>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</si>
  <si>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</si>
  <si>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</si>
  <si>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</si>
  <si>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</si>
  <si>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</si>
  <si>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</si>
  <si>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</si>
  <si>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</si>
  <si>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</si>
  <si>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</si>
  <si>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</si>
  <si>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</si>
  <si>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</si>
  <si>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</si>
  <si>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</si>
  <si>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</si>
  <si>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</si>
  <si>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</si>
  <si>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</si>
  <si>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</si>
  <si>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</si>
  <si>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</si>
  <si>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</si>
  <si>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</si>
  <si>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</si>
  <si>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</si>
  <si>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</si>
  <si>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</si>
  <si>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</si>
  <si>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</si>
  <si>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</si>
  <si>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</si>
  <si>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</si>
  <si>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</si>
  <si>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</si>
  <si>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</si>
  <si>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</si>
  <si>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</si>
  <si>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</si>
  <si>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</si>
  <si>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</si>
  <si>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</si>
  <si>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</si>
  <si>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</si>
  <si>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</si>
  <si>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</si>
  <si>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</si>
  <si>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</si>
  <si>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</si>
  <si>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</si>
  <si>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</si>
  <si>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</si>
  <si>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</si>
  <si>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</si>
  <si>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</si>
  <si>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</si>
  <si>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</si>
  <si>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</si>
  <si>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</si>
  <si>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</si>
  <si>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</si>
  <si>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</si>
  <si>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</si>
  <si>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</si>
  <si>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</si>
  <si>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</si>
  <si>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</si>
  <si>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</si>
  <si>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</si>
  <si>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</si>
  <si>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</si>
  <si>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</si>
  <si>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</si>
  <si>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</si>
  <si>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</si>
  <si>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</si>
  <si>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</si>
  <si>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</si>
  <si>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</si>
  <si>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</si>
  <si>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</si>
  <si>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</si>
  <si>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</si>
  <si>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</si>
  <si>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</si>
  <si>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</si>
  <si>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</si>
  <si>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</si>
  <si>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</si>
  <si>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</si>
  <si>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</si>
  <si>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</si>
  <si>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</si>
  <si>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</si>
  <si>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</si>
  <si>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</si>
  <si>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</si>
  <si>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</si>
  <si>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</si>
  <si>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</si>
  <si>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</si>
  <si>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</si>
  <si>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</si>
  <si>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</si>
  <si>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</si>
  <si>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</si>
  <si>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</si>
  <si>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</si>
  <si>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</si>
  <si>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</si>
  <si>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</si>
  <si>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</si>
  <si>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</si>
  <si>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</si>
  <si>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</si>
  <si>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</si>
  <si>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</si>
  <si>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</si>
  <si>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</si>
  <si>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</si>
  <si>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</si>
  <si>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</si>
  <si>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</si>
  <si>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</si>
  <si>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</si>
  <si>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</si>
  <si>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</si>
  <si>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</si>
  <si>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</si>
  <si>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</si>
  <si>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</si>
  <si>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</si>
  <si>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</si>
  <si>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</si>
  <si>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</si>
  <si>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</si>
  <si>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</si>
  <si>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</si>
  <si>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</si>
  <si>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</si>
  <si>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</si>
  <si>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</si>
  <si>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</si>
  <si>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</si>
  <si>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</si>
  <si>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</si>
  <si>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</si>
  <si>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</si>
  <si>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</si>
  <si>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</si>
  <si>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</si>
  <si>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</si>
  <si>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</si>
  <si>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</si>
  <si>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</si>
  <si>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</si>
  <si>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</si>
  <si>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</si>
  <si>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</si>
  <si>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</si>
  <si>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</si>
  <si>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</si>
  <si>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</si>
  <si>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</si>
  <si>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</si>
  <si>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</si>
  <si>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</si>
  <si>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</si>
  <si>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</si>
  <si>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</si>
  <si>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</si>
  <si>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</si>
  <si>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</si>
  <si>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</si>
  <si>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</si>
  <si>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</si>
  <si>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</si>
  <si>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</si>
  <si>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</si>
  <si>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</si>
  <si>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</si>
  <si>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</si>
  <si>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</si>
  <si>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</si>
  <si>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</si>
  <si>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</si>
  <si>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</si>
  <si>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</si>
  <si>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</si>
  <si>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</si>
  <si>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</si>
  <si>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</si>
  <si>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</si>
  <si>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</si>
  <si>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</si>
  <si>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</si>
  <si>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</si>
  <si>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</si>
  <si>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</si>
  <si>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</si>
  <si>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</si>
  <si>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</si>
  <si>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</si>
  <si>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</si>
  <si>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</si>
  <si>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</si>
  <si>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</si>
  <si>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</si>
  <si>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</si>
  <si>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</si>
  <si>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</si>
  <si>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</si>
  <si>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</si>
  <si>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</si>
  <si>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</si>
  <si>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</si>
  <si>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</si>
  <si>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</si>
  <si>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</si>
  <si>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</si>
  <si>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</si>
  <si>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</si>
  <si>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</si>
  <si>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</si>
  <si>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</si>
  <si>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</si>
  <si>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</si>
  <si>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</si>
  <si>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</si>
  <si>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</si>
  <si>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</si>
  <si>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</si>
  <si>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</si>
  <si>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</si>
  <si>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</si>
  <si>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</si>
  <si>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</si>
  <si>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</si>
  <si>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</si>
  <si>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</si>
  <si>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</si>
  <si>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</si>
  <si>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</si>
  <si>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</si>
  <si>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</si>
  <si>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</si>
  <si>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</si>
  <si>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</si>
  <si>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</si>
  <si>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</si>
  <si>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</si>
  <si>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</si>
  <si>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</si>
  <si>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</si>
  <si>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</si>
  <si>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</si>
  <si>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</si>
  <si>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</si>
  <si>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</si>
  <si>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</si>
  <si>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</si>
  <si>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</si>
  <si>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</si>
  <si>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</si>
  <si>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</si>
  <si>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</si>
  <si>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</si>
  <si>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</si>
  <si>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</si>
  <si>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</si>
  <si>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</si>
  <si>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</si>
  <si>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</si>
  <si>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</si>
  <si>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</si>
  <si>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</si>
  <si>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</si>
  <si>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</si>
  <si>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</si>
  <si>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</si>
  <si>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</si>
  <si>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</si>
  <si>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</si>
  <si>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</si>
  <si>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</si>
  <si>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</si>
  <si>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</si>
  <si>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</si>
  <si>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</si>
  <si>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</si>
  <si>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</si>
  <si>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</si>
  <si>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</si>
  <si>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</si>
  <si>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</si>
  <si>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</si>
  <si>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</si>
  <si>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</si>
  <si>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</si>
  <si>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</si>
  <si>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</si>
  <si>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</si>
  <si>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</si>
  <si>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</si>
  <si>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</si>
  <si>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</si>
  <si>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</si>
  <si>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</si>
  <si>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</si>
  <si>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</si>
  <si>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</si>
  <si>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</si>
  <si>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</si>
  <si>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</si>
  <si>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</si>
  <si>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</si>
  <si>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</si>
  <si>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</si>
  <si>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</si>
  <si>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</si>
  <si>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</si>
  <si>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</si>
  <si>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</si>
  <si>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</si>
  <si>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</si>
  <si>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</si>
  <si>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</si>
  <si>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</si>
  <si>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</si>
  <si>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</si>
  <si>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</si>
  <si>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</si>
  <si>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</si>
  <si>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</si>
  <si>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</si>
  <si>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</si>
  <si>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</si>
  <si>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</si>
  <si>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</si>
  <si>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</si>
  <si>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</si>
  <si>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</si>
  <si>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</si>
  <si>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</si>
  <si>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</si>
  <si>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</si>
  <si>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</si>
  <si>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</si>
  <si>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</si>
  <si>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</si>
  <si>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</si>
  <si>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</si>
  <si>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</si>
  <si>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</si>
  <si>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</si>
  <si>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</si>
  <si>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</si>
  <si>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</si>
  <si>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</si>
  <si>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</si>
  <si>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</si>
  <si>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</si>
  <si>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</si>
  <si>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</si>
  <si>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</si>
  <si>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</si>
  <si>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</si>
  <si>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</si>
  <si>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</si>
  <si>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</si>
  <si>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</si>
  <si>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</si>
  <si>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</si>
  <si>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</si>
  <si>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</si>
  <si>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</si>
  <si>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</si>
  <si>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</si>
  <si>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</si>
  <si>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</si>
  <si>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</si>
  <si>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</si>
  <si>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</si>
  <si>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</si>
  <si>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</si>
  <si>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</si>
  <si>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</si>
  <si>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</si>
  <si>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</si>
  <si>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</si>
  <si>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</si>
  <si>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</si>
  <si>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</si>
  <si>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</si>
  <si>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</si>
  <si>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</si>
  <si>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</si>
  <si>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</si>
  <si>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</si>
  <si>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</si>
  <si>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</si>
  <si>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</si>
  <si>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</si>
  <si>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</si>
  <si>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</si>
  <si>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</si>
  <si>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</si>
  <si>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</si>
  <si>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</si>
  <si>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</si>
  <si>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</si>
  <si>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</si>
  <si>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</si>
  <si>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</si>
  <si>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</si>
  <si>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</si>
  <si>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</si>
  <si>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</si>
  <si>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</si>
  <si>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</si>
  <si>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</si>
  <si>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</si>
  <si>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</si>
  <si>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</si>
  <si>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</si>
  <si>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</si>
  <si>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</si>
  <si>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</si>
  <si>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</si>
  <si>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</si>
  <si>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</si>
  <si>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</si>
  <si>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</si>
  <si>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</si>
  <si>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</si>
  <si>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</si>
  <si>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</si>
  <si>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</si>
  <si>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</si>
  <si>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</si>
  <si>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</si>
  <si>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</si>
  <si>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</si>
  <si>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</si>
  <si>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</si>
  <si>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</si>
  <si>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</si>
  <si>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</si>
  <si>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</si>
  <si>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</si>
  <si>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</si>
  <si>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</si>
  <si>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</si>
  <si>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</si>
  <si>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</si>
  <si>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</si>
  <si>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</si>
  <si>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</si>
  <si>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</si>
  <si>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</si>
  <si>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</si>
  <si>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</si>
  <si>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</si>
  <si>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</si>
  <si>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</si>
  <si>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</si>
  <si>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</si>
  <si>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</si>
  <si>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</si>
  <si>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</si>
  <si>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</si>
  <si>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</si>
  <si>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</si>
  <si>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</si>
  <si>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</si>
  <si>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</si>
  <si>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</si>
  <si>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</si>
  <si>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</si>
  <si>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</si>
  <si>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</si>
  <si>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</si>
  <si>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</si>
  <si>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</si>
  <si>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</si>
  <si>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</si>
  <si>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</si>
  <si>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</si>
  <si>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</si>
  <si>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</si>
  <si>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</si>
  <si>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</si>
  <si>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</si>
  <si>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</si>
  <si>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</si>
  <si>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</si>
  <si>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</si>
  <si>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</si>
  <si>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</si>
  <si>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</si>
  <si>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</si>
  <si>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</si>
  <si>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</si>
  <si>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</si>
  <si>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</si>
  <si>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</si>
  <si>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</si>
  <si>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</si>
  <si>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</si>
  <si>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</si>
  <si>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</si>
  <si>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</si>
  <si>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</si>
  <si>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</si>
  <si>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</si>
  <si>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</si>
  <si>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</si>
  <si>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</si>
  <si>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</si>
  <si>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</si>
  <si>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</si>
  <si>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</si>
  <si>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</si>
  <si>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</si>
  <si>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</si>
  <si>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</si>
  <si>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</si>
  <si>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</si>
  <si>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</si>
  <si>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</si>
  <si>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</si>
  <si>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</si>
  <si>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</si>
  <si>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</si>
  <si>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</si>
  <si>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</si>
  <si>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</si>
  <si>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</si>
  <si>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</si>
  <si>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</si>
  <si>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</si>
  <si>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</si>
  <si>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</si>
  <si>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</si>
  <si>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</si>
  <si>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</si>
  <si>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</si>
  <si>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</si>
  <si>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</si>
  <si>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</si>
  <si>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</si>
  <si>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</si>
  <si>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</si>
  <si>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</si>
  <si>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</si>
  <si>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</si>
  <si>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</si>
  <si>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</si>
  <si>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</si>
  <si>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</si>
  <si>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</si>
  <si>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</si>
  <si>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</si>
  <si>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</si>
  <si>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</si>
  <si>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</si>
  <si>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</si>
  <si>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</si>
  <si>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</si>
  <si>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</si>
  <si>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</si>
  <si>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</si>
  <si>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</si>
  <si>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</si>
  <si>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</si>
  <si>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</si>
  <si>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</si>
  <si>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</si>
  <si>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</si>
  <si>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</si>
  <si>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</si>
  <si>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</si>
  <si>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</si>
  <si>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</si>
  <si>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</si>
  <si>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</si>
  <si>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</si>
  <si>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</si>
  <si>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</si>
  <si>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</si>
  <si>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</si>
  <si>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</si>
  <si>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</si>
  <si>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</si>
  <si>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</si>
  <si>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</si>
  <si>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</si>
  <si>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</si>
  <si>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</si>
  <si>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</si>
  <si>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</si>
  <si>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</si>
  <si>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</si>
  <si>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</si>
  <si>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</si>
  <si>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</si>
  <si>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</si>
  <si>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</si>
  <si>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</si>
  <si>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</si>
  <si>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</si>
  <si>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</si>
  <si>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</si>
  <si>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</si>
  <si>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</si>
  <si>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</si>
  <si>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</si>
  <si>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</si>
  <si>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</si>
  <si>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</si>
  <si>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</si>
  <si>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</si>
  <si>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</si>
  <si>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</si>
  <si>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</si>
  <si>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</si>
  <si>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</si>
  <si>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</si>
  <si>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</si>
  <si>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</si>
  <si>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</si>
  <si>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</si>
  <si>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</si>
  <si>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</si>
  <si>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</si>
  <si>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</si>
  <si>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</si>
  <si>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</si>
  <si>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</si>
  <si>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</si>
  <si>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</si>
  <si>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</si>
  <si>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</si>
  <si>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</si>
  <si>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</si>
  <si>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</si>
  <si>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</si>
  <si>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</si>
  <si>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</si>
  <si>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</si>
  <si>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</si>
  <si>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</si>
  <si>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</si>
  <si>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</si>
  <si>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</si>
  <si>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</si>
  <si>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</si>
  <si>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</si>
  <si>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</si>
  <si>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</si>
  <si>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</si>
  <si>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</si>
  <si>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</si>
  <si>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</si>
  <si>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</si>
  <si>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</si>
  <si>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</si>
  <si>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</si>
  <si>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</si>
  <si>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</si>
  <si>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</si>
  <si>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</si>
  <si>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</si>
  <si>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</si>
  <si>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</si>
  <si>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</si>
  <si>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</si>
  <si>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</si>
  <si>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</si>
  <si>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</si>
  <si>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</si>
  <si>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</si>
  <si>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</si>
  <si>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</si>
  <si>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</si>
  <si>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</si>
  <si>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</si>
  <si>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</si>
  <si>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</si>
  <si>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</si>
  <si>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</si>
  <si>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</si>
  <si>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</si>
  <si>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</si>
  <si>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</si>
  <si>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</si>
  <si>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</si>
  <si>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</si>
  <si>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</si>
  <si>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</si>
  <si>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</si>
  <si>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</si>
  <si>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</si>
  <si>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</si>
  <si>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</si>
  <si>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</si>
  <si>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</si>
  <si>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</si>
  <si>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</si>
  <si>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</si>
  <si>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</si>
  <si>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</si>
  <si>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</si>
  <si>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</si>
  <si>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</si>
  <si>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</si>
  <si>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</si>
  <si>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</si>
  <si>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</si>
  <si>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</si>
  <si>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</si>
  <si>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</si>
  <si>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</si>
  <si>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</si>
  <si>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</si>
  <si>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</si>
  <si>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</si>
  <si>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</si>
  <si>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</si>
  <si>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</si>
  <si>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</si>
  <si>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</si>
  <si>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</si>
  <si>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</si>
  <si>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</si>
  <si>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</si>
  <si>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</si>
  <si>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</si>
  <si>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</si>
  <si>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</si>
  <si>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</si>
  <si>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</si>
  <si>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</si>
  <si>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</si>
  <si>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</si>
  <si>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</si>
  <si>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</si>
  <si>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</si>
  <si>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</si>
  <si>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</si>
  <si>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</si>
  <si>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</si>
  <si>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</si>
  <si>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</si>
  <si>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</si>
  <si>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</si>
  <si>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</si>
  <si>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</si>
  <si>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</si>
  <si>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</si>
  <si>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</si>
  <si>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</si>
  <si>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</si>
  <si>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</si>
  <si>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</si>
  <si>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</si>
  <si>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</si>
  <si>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</si>
  <si>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</si>
  <si>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</si>
  <si>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</si>
  <si>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</si>
  <si>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</si>
  <si>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</si>
  <si>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</si>
  <si>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</si>
  <si>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</si>
  <si>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</si>
  <si>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</si>
  <si>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</si>
  <si>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</si>
  <si>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</si>
  <si>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</si>
  <si>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</si>
  <si>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</si>
  <si>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</si>
  <si>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</si>
  <si>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</si>
  <si>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</si>
  <si>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</si>
  <si>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</si>
  <si>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</si>
  <si>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</si>
  <si>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</si>
  <si>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</si>
  <si>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</si>
  <si>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</si>
  <si>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</si>
  <si>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</si>
  <si>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</si>
  <si>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</si>
  <si>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</si>
  <si>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</si>
  <si>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</si>
  <si>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</si>
  <si>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</si>
  <si>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</si>
  <si>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</si>
  <si>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</si>
  <si>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</si>
  <si>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</si>
  <si>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</si>
  <si>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</si>
  <si>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</si>
  <si>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</si>
  <si>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</si>
  <si>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</si>
  <si>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</si>
  <si>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</si>
  <si>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</si>
  <si>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</si>
  <si>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</si>
  <si>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</si>
  <si>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</si>
  <si>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</si>
  <si>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</si>
  <si>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</si>
  <si>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</si>
  <si>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</si>
  <si>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</si>
  <si>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</si>
  <si>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</si>
  <si>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</si>
  <si>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</si>
  <si>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</si>
  <si>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r>
      <t>EHV Connected Customers Component of BR</t>
    </r>
    <r>
      <rPr>
        <vertAlign val="subscript"/>
        <sz val="11"/>
        <color indexed="8"/>
        <rFont val="Calibri"/>
        <family val="2"/>
      </rPr>
      <t xml:space="preserve">t </t>
    </r>
    <r>
      <rPr>
        <sz val="11"/>
        <color indexed="8"/>
        <rFont val="Calibri"/>
        <family val="2"/>
      </rPr>
      <t>(PE in above Equn)</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</si>
  <si>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</si>
  <si>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</si>
  <si>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</si>
  <si>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</si>
  <si>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</si>
  <si>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</si>
  <si>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</si>
  <si>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</si>
  <si>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</si>
  <si>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</si>
  <si>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</si>
  <si>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</si>
  <si>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</si>
  <si>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</si>
  <si>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</si>
  <si>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</si>
  <si>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t>
  </si>
  <si>
    <t>Take these data from the February 2005 Ofgem document (link below), not the November 2004 final proposals.</t>
  </si>
  <si>
    <t>http://www.ofgem.gov.uk/Markets/RetMkts/Metrng/Metering/Documents1/9745-5405.pdf</t>
  </si>
  <si>
    <t/>
  </si>
  <si>
    <t>EDFE SPN</t>
  </si>
  <si>
    <t>0</t>
  </si>
  <si>
    <t>Malton and Scarborough reinforcement - Malton and Scarborough group</t>
  </si>
  <si>
    <t>132</t>
  </si>
  <si>
    <t>66/33</t>
  </si>
  <si>
    <t>b</t>
  </si>
  <si>
    <t>2017/18</t>
  </si>
  <si>
    <t>Winter</t>
  </si>
  <si>
    <t>N</t>
  </si>
  <si>
    <t>New switchgear at Malton</t>
  </si>
  <si>
    <t>Lackenby reinforcement - Lackenby</t>
  </si>
  <si>
    <t>275</t>
  </si>
  <si>
    <t>66</t>
  </si>
  <si>
    <t>a</t>
  </si>
  <si>
    <t>&gt;2015/16</t>
  </si>
  <si>
    <t>2010</t>
  </si>
  <si>
    <t>Y</t>
  </si>
  <si>
    <t>NEDL works to facilitate a new SGT at  Lackenby</t>
  </si>
  <si>
    <t>Potter House reinforcement phase 1 and 2 - Potter House</t>
  </si>
  <si>
    <t>2011/15</t>
  </si>
  <si>
    <t>Uprating of 132kV line between Spennymoor and Potterhouse and replace transformers at Potterhouse</t>
  </si>
  <si>
    <t>Ferrybridge ring - Ferrybridge ring</t>
  </si>
  <si>
    <t>n/a</t>
  </si>
  <si>
    <t>j</t>
  </si>
  <si>
    <t>current</t>
  </si>
  <si>
    <t>2014</t>
  </si>
  <si>
    <t>Facilitating new GSP - Knaresborough</t>
  </si>
  <si>
    <t>Bowesfield reinforcement schemes - Bowesfield</t>
  </si>
  <si>
    <t>2011 &amp; 2011/13</t>
  </si>
  <si>
    <t>New 66/33kV transformer at Bowesfield to provide more interconnection for Bowesfield from Norton and 3rd 132kV transformer feeder.</t>
  </si>
  <si>
    <t>Barrack Road and Chirton Grange reinforcement - Chirton Grange</t>
  </si>
  <si>
    <t>&gt;2017/18</t>
  </si>
  <si>
    <t>Replace transformers</t>
  </si>
  <si>
    <t>Barrack Road and Chirton Grange reinforcement - Barrack Road</t>
  </si>
  <si>
    <t>Transfer Educational Precinct to Gosforth after Fossway is transferred from Gosforth to Chirton Grange.</t>
  </si>
  <si>
    <t>Harrogate new primary - Harrogate 132/11kV</t>
  </si>
  <si>
    <t>New primary to be established - Harrogate Central 33/11kV S/S and transfer load from Harrogate 132/11kV</t>
  </si>
  <si>
    <t>Harrogate 33kV reinforcement schemes - Harrogte 33kV</t>
  </si>
  <si>
    <t>d</t>
  </si>
  <si>
    <t>2016/17</t>
  </si>
  <si>
    <t>2010/12 &amp; 2013</t>
  </si>
  <si>
    <t xml:space="preserve">Replace transformers and switchgear.  Control and protection modifications to improve the interconnection between Harrogate 132/33kV and Wormald Green.  </t>
  </si>
  <si>
    <t>Coulby Newham new primary - Prissick</t>
  </si>
  <si>
    <t>Establish new Coulby Newham primary and transfer load from Prissick</t>
  </si>
  <si>
    <t>Durham East reinforcment - Durham East</t>
  </si>
  <si>
    <t>Firm capacity increased when new 66kV feeder installed and substation is relocated and equipment uprated in a separate scheme.</t>
  </si>
  <si>
    <t>Sunderland new primary - Sunderland 11kV</t>
  </si>
  <si>
    <t>Establish new Sunderland primary and transfer load from Sunderland 11kV</t>
  </si>
  <si>
    <t>Sunderland new primary - Offerton 33/11kV</t>
  </si>
  <si>
    <t>Establish new Sunderland primary and transfer load from Offerton 33/11kV</t>
  </si>
  <si>
    <t>Melrosegate new primary - Foss Island</t>
  </si>
  <si>
    <t>Establish new primary at Melrosegate and transfer load from Foss Island</t>
  </si>
  <si>
    <t>Melrosegate new primary - Haxby Road</t>
  </si>
  <si>
    <t>Establish new primary at Melrosegate and transfer load from Haxby Road</t>
  </si>
  <si>
    <t>Seaton Burn 66/20kV reinforcement - Seaton Burn</t>
  </si>
  <si>
    <t>Replace transformers and switchgear at Seaton Burn</t>
  </si>
  <si>
    <t>Sales of scrap</t>
  </si>
  <si>
    <t>NEDL</t>
  </si>
  <si>
    <t>Penshaw Car Park - land disposal</t>
  </si>
  <si>
    <t>NEPL</t>
  </si>
  <si>
    <t>Vehicle disposals</t>
  </si>
  <si>
    <t>VLS</t>
  </si>
  <si>
    <t>BR t = (PU x GR  t + PE) x PIAD t - MG t</t>
  </si>
  <si>
    <t xml:space="preserve">PU.GR  t </t>
  </si>
  <si>
    <t>PIAD t</t>
  </si>
  <si>
    <t>MG t</t>
  </si>
  <si>
    <t>MEAV Calculation = Replacement unit cost*FBPQ closing asset balance</t>
  </si>
  <si>
    <t>Northern Powergrid (Yorkshire)</t>
  </si>
  <si>
    <t>April 2017 - Final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</si>
</sst>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s>
  <fonts count="75">
    <font>
      <sz val="10"/>
      <name val="Arial"/>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b/>
      <u/>
      <sz val="10"/>
      <name val="Arial"/>
      <family val="2"/>
    </font>
    <font>
      <u/>
      <sz val="10"/>
      <color indexed="12"/>
      <name val="Arial"/>
      <family val="2"/>
    </font>
    <font>
      <b/>
      <sz val="10"/>
      <name val="Arial"/>
      <family val="2"/>
    </font>
    <font>
      <sz val="11"/>
      <name val="CG Omega"/>
      <family val="2"/>
    </font>
    <font>
      <b/>
      <sz val="10"/>
      <name val="CG Omega"/>
      <family val="2"/>
    </font>
    <font>
      <sz val="10"/>
      <name val="CG Omega"/>
      <family val="2"/>
    </font>
    <font>
      <sz val="10"/>
      <color indexed="12"/>
      <name val="CG Omega"/>
      <family val="2"/>
    </font>
    <font>
      <sz val="10"/>
      <color indexed="12"/>
      <name val="Arial"/>
      <family val="2"/>
    </font>
    <font>
      <b/>
      <sz val="10"/>
      <color indexed="8"/>
      <name val="Verdana"/>
      <family val="2"/>
    </font>
    <font>
      <sz val="10"/>
      <color indexed="8"/>
      <name val="Verdana"/>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0"/>
      <color indexed="8"/>
      <name val="Arial"/>
      <family val="2"/>
    </font>
    <font>
      <b/>
      <sz val="10"/>
      <color indexed="8"/>
      <name val="Arial"/>
      <family val="2"/>
    </font>
    <font>
      <sz val="16"/>
      <color indexed="8"/>
      <name val="Arial"/>
      <family val="2"/>
    </font>
    <font>
      <sz val="11"/>
      <color indexed="8"/>
      <name val="CG Omega"/>
      <family val="2"/>
    </font>
    <font>
      <sz val="11"/>
      <color indexed="12"/>
      <name val="CG Omega"/>
      <family val="2"/>
    </font>
    <font>
      <sz val="10"/>
      <color indexed="56"/>
      <name val="Arial"/>
      <family val="2"/>
    </font>
    <font>
      <b/>
      <sz val="20"/>
      <name val="Arial"/>
      <family val="2"/>
    </font>
    <font>
      <sz val="9"/>
      <name val="Arial"/>
      <family val="2"/>
    </font>
    <font>
      <sz val="9"/>
      <name val="CG Omega"/>
      <family val="2"/>
    </font>
    <font>
      <b/>
      <sz val="9"/>
      <name val="CG Omega"/>
      <family val="2"/>
    </font>
    <font>
      <sz val="10"/>
      <color indexed="10"/>
      <name val="CG Omega"/>
      <family val="2"/>
    </font>
    <font>
      <b/>
      <sz val="12"/>
      <name val="CG Omega"/>
      <family val="2"/>
    </font>
    <font>
      <b/>
      <sz val="11"/>
      <name val="CG Omega"/>
      <family val="2"/>
    </font>
    <font>
      <sz val="11"/>
      <color indexed="10"/>
      <name val="CG Omega"/>
      <family val="2"/>
    </font>
    <font>
      <b/>
      <sz val="11"/>
      <name val="CG Omega"/>
    </font>
    <font>
      <b/>
      <sz val="11"/>
      <color indexed="12"/>
      <name val="CG Omega"/>
      <family val="2"/>
    </font>
    <font>
      <sz val="11"/>
      <color indexed="30"/>
      <name val="CG Omega"/>
      <family val="2"/>
    </font>
    <font>
      <sz val="10"/>
      <color indexed="30"/>
      <name val="CG Omega"/>
      <family val="2"/>
    </font>
    <font>
      <sz val="10"/>
      <color indexed="8"/>
      <name val="CG Omega"/>
      <family val="2"/>
    </font>
    <font>
      <b/>
      <sz val="11"/>
      <name val="Arial"/>
      <family val="2"/>
    </font>
    <font>
      <sz val="8"/>
      <name val="Verdana"/>
      <family val="2"/>
    </font>
    <font>
      <b/>
      <sz val="10"/>
      <name val="Verdana"/>
      <family val="2"/>
    </font>
    <font>
      <sz val="8"/>
      <name val="CG Omega"/>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i/>
      <sz val="10"/>
      <name val="Arial"/>
      <family val="2"/>
    </font>
    <font>
      <sz val="11"/>
      <name val="Calibri"/>
      <family val="2"/>
      <scheme val="minor"/>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3"/>
        <bgColor indexed="64"/>
      </patternFill>
    </fill>
    <fill>
      <patternFill patternType="solid">
        <fgColor indexed="63"/>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3">
    <xf numFmtId="0" fontId="0" fillId="0" borderId="0"/>
    <xf numFmtId="9"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2"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0" borderId="0" applyNumberFormat="0" applyFill="0" applyBorder="0" applyAlignment="0" applyProtection="0"/>
    <xf numFmtId="0" fontId="31" fillId="0" borderId="0"/>
    <xf numFmtId="0" fontId="2" fillId="0" borderId="0"/>
    <xf numFmtId="0" fontId="31" fillId="0" borderId="0">
      <alignment vertical="top"/>
    </xf>
    <xf numFmtId="0" fontId="37" fillId="0" borderId="0"/>
    <xf numFmtId="0" fontId="2" fillId="0" borderId="0"/>
    <xf numFmtId="0" fontId="2" fillId="0" borderId="0"/>
    <xf numFmtId="0" fontId="43" fillId="0" borderId="0"/>
    <xf numFmtId="0" fontId="2" fillId="0" borderId="0"/>
    <xf numFmtId="0" fontId="31" fillId="0" borderId="0"/>
    <xf numFmtId="9" fontId="31" fillId="0" borderId="0" applyFont="0" applyFill="0" applyBorder="0" applyAlignment="0" applyProtection="0"/>
    <xf numFmtId="9" fontId="2" fillId="0" borderId="0" applyFont="0" applyFill="0" applyBorder="0" applyAlignment="0" applyProtection="0"/>
    <xf numFmtId="0" fontId="31" fillId="0" borderId="0"/>
    <xf numFmtId="0" fontId="31" fillId="0" borderId="0"/>
    <xf numFmtId="9" fontId="37" fillId="0" borderId="0" applyFont="0" applyFill="0" applyBorder="0" applyAlignment="0" applyProtection="0"/>
    <xf numFmtId="0" fontId="37" fillId="0" borderId="0"/>
    <xf numFmtId="0" fontId="2" fillId="0" borderId="0"/>
    <xf numFmtId="0" fontId="2" fillId="0" borderId="0"/>
    <xf numFmtId="0" fontId="2" fillId="0" borderId="0"/>
    <xf numFmtId="0" fontId="31" fillId="0" borderId="0"/>
    <xf numFmtId="0" fontId="26" fillId="0" borderId="0"/>
    <xf numFmtId="0" fontId="2" fillId="0" borderId="0"/>
  </cellStyleXfs>
  <cellXfs count="1803">
    <xf numFmtId="0" fontId="0" fillId="0" borderId="0" xfId="0"/>
    <xf numFmtId="0" fontId="20" fillId="0" borderId="0" xfId="0" applyFont="1" applyAlignment="1"/>
    <xf numFmtId="0" fontId="21" fillId="0" borderId="0" xfId="0" applyFont="1" applyAlignment="1"/>
    <xf numFmtId="0" fontId="21" fillId="0" borderId="0" xfId="0" quotePrefix="1" applyFont="1" applyAlignment="1"/>
    <xf numFmtId="2" fontId="24" fillId="0" borderId="0" xfId="0" applyNumberFormat="1" applyFont="1" applyAlignment="1">
      <alignment horizontal="left"/>
    </xf>
    <xf numFmtId="49" fontId="20" fillId="0" borderId="0" xfId="0" applyNumberFormat="1" applyFont="1" applyAlignment="1">
      <alignment horizontal="left"/>
    </xf>
    <xf numFmtId="10" fontId="21" fillId="12" borderId="0" xfId="1" applyNumberFormat="1" applyFont="1" applyFill="1" applyAlignment="1" applyProtection="1">
      <alignment horizontal="center"/>
      <protection locked="0"/>
    </xf>
    <xf numFmtId="165" fontId="21" fillId="12" borderId="0" xfId="0" quotePrefix="1" applyNumberFormat="1" applyFont="1" applyFill="1" applyAlignment="1" applyProtection="1">
      <alignment horizontal="center"/>
      <protection locked="0"/>
    </xf>
    <xf numFmtId="165" fontId="21" fillId="12" borderId="0" xfId="0" applyNumberFormat="1" applyFont="1" applyFill="1" applyAlignment="1" applyProtection="1">
      <alignment horizontal="center"/>
      <protection locked="0"/>
    </xf>
    <xf numFmtId="0" fontId="21" fillId="11" borderId="0" xfId="2" applyNumberFormat="1" applyFont="1" applyFill="1" applyAlignment="1" applyProtection="1">
      <alignment horizontal="center" vertical="center"/>
      <protection locked="0"/>
    </xf>
    <xf numFmtId="166" fontId="21" fillId="11" borderId="0" xfId="2" applyNumberFormat="1" applyFont="1" applyFill="1" applyAlignment="1" applyProtection="1">
      <alignment horizontal="center" vertical="center"/>
      <protection locked="0"/>
    </xf>
    <xf numFmtId="0" fontId="20" fillId="0" borderId="0" xfId="0" applyFont="1" applyAlignment="1">
      <alignment vertical="center"/>
    </xf>
    <xf numFmtId="167" fontId="21" fillId="11" borderId="0" xfId="0" applyNumberFormat="1" applyFont="1" applyFill="1" applyAlignment="1" applyProtection="1">
      <alignment horizontal="center" vertical="center"/>
      <protection locked="0"/>
    </xf>
    <xf numFmtId="0" fontId="20" fillId="9" borderId="0" xfId="0" applyFont="1" applyFill="1" applyAlignment="1">
      <alignment horizontal="left" vertical="center"/>
    </xf>
    <xf numFmtId="164" fontId="21" fillId="0" borderId="0" xfId="1" applyNumberFormat="1" applyFont="1" applyAlignment="1"/>
    <xf numFmtId="17" fontId="21" fillId="0" borderId="0" xfId="0" quotePrefix="1" applyNumberFormat="1" applyFont="1" applyAlignment="1"/>
    <xf numFmtId="0" fontId="20" fillId="9" borderId="0" xfId="0" applyFont="1" applyFill="1" applyAlignment="1">
      <alignment horizontal="center" vertical="center"/>
    </xf>
    <xf numFmtId="164" fontId="21" fillId="11" borderId="0" xfId="1" applyNumberFormat="1" applyFont="1" applyFill="1" applyAlignment="1" applyProtection="1">
      <alignment horizontal="center" vertical="center"/>
      <protection locked="0"/>
    </xf>
    <xf numFmtId="49" fontId="25" fillId="13" borderId="0" xfId="0" applyNumberFormat="1" applyFont="1" applyFill="1" applyAlignment="1">
      <alignment horizontal="center" vertical="center"/>
    </xf>
    <xf numFmtId="49" fontId="25" fillId="13" borderId="0" xfId="0" applyNumberFormat="1" applyFont="1" applyFill="1" applyAlignment="1">
      <alignment horizontal="left" vertical="center"/>
    </xf>
    <xf numFmtId="0" fontId="21" fillId="0" borderId="10" xfId="0" applyFont="1" applyBorder="1" applyAlignment="1"/>
    <xf numFmtId="0" fontId="21" fillId="0" borderId="12" xfId="0" applyFont="1" applyBorder="1" applyAlignment="1"/>
    <xf numFmtId="0" fontId="21" fillId="0" borderId="0" xfId="0" applyFont="1" applyBorder="1" applyAlignment="1"/>
    <xf numFmtId="0" fontId="21" fillId="0" borderId="17" xfId="0" applyFont="1" applyBorder="1" applyAlignment="1"/>
    <xf numFmtId="0" fontId="21" fillId="0" borderId="16"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0" fillId="14" borderId="0" xfId="0" applyFill="1" applyBorder="1"/>
    <xf numFmtId="0" fontId="0" fillId="14" borderId="19" xfId="0" applyFill="1" applyBorder="1"/>
    <xf numFmtId="0" fontId="21" fillId="0" borderId="0" xfId="0" applyFont="1" applyAlignment="1">
      <alignment wrapText="1"/>
    </xf>
    <xf numFmtId="0" fontId="21" fillId="0" borderId="13" xfId="0" applyFont="1" applyBorder="1" applyAlignment="1"/>
    <xf numFmtId="0" fontId="21" fillId="0" borderId="14" xfId="0" applyFont="1" applyBorder="1" applyAlignment="1"/>
    <xf numFmtId="0" fontId="21" fillId="0" borderId="15" xfId="0" applyFont="1" applyBorder="1" applyAlignment="1"/>
    <xf numFmtId="0" fontId="21" fillId="0" borderId="15" xfId="0" applyFont="1" applyBorder="1" applyAlignment="1">
      <alignment wrapText="1"/>
    </xf>
    <xf numFmtId="0" fontId="21" fillId="0" borderId="17" xfId="0" applyFont="1" applyBorder="1" applyAlignment="1">
      <alignment wrapText="1"/>
    </xf>
    <xf numFmtId="0" fontId="26" fillId="0" borderId="0" xfId="0" applyFont="1" applyAlignment="1"/>
    <xf numFmtId="0" fontId="26" fillId="0" borderId="0" xfId="0" applyFont="1" applyAlignment="1" applyProtection="1">
      <protection locked="0"/>
    </xf>
    <xf numFmtId="169" fontId="21" fillId="15" borderId="0" xfId="0" applyNumberFormat="1" applyFont="1" applyFill="1" applyAlignment="1">
      <alignment horizontal="center" vertical="center"/>
    </xf>
    <xf numFmtId="164" fontId="20" fillId="0" borderId="0" xfId="1" applyNumberFormat="1" applyFont="1" applyAlignment="1"/>
    <xf numFmtId="49" fontId="25" fillId="13" borderId="0" xfId="0" applyNumberFormat="1" applyFont="1" applyFill="1" applyAlignment="1">
      <alignment horizontal="center" vertical="center" wrapText="1"/>
    </xf>
    <xf numFmtId="0" fontId="21" fillId="0" borderId="0" xfId="0" applyFont="1"/>
    <xf numFmtId="0" fontId="20" fillId="16" borderId="0" xfId="0" applyFont="1" applyFill="1" applyAlignment="1">
      <alignment horizontal="left" vertical="center"/>
    </xf>
    <xf numFmtId="0" fontId="28" fillId="0" borderId="0" xfId="0" applyFont="1"/>
    <xf numFmtId="0" fontId="19" fillId="0" borderId="0" xfId="61" applyAlignment="1" applyProtection="1"/>
    <xf numFmtId="0" fontId="0" fillId="17" borderId="0" xfId="0" applyFill="1"/>
    <xf numFmtId="170" fontId="0" fillId="17" borderId="0" xfId="0" applyNumberFormat="1" applyFill="1"/>
    <xf numFmtId="0" fontId="30" fillId="0" borderId="0" xfId="0" applyFont="1"/>
    <xf numFmtId="170" fontId="0" fillId="0" borderId="0" xfId="0" applyNumberFormat="1"/>
    <xf numFmtId="170" fontId="0" fillId="17" borderId="0" xfId="0" applyNumberFormat="1" applyFill="1" applyAlignment="1">
      <alignment horizontal="right"/>
    </xf>
    <xf numFmtId="0" fontId="30" fillId="17" borderId="0" xfId="0" applyFont="1" applyFill="1"/>
    <xf numFmtId="170" fontId="30" fillId="17" borderId="0" xfId="0" applyNumberFormat="1" applyFont="1" applyFill="1"/>
    <xf numFmtId="0" fontId="2" fillId="0" borderId="0" xfId="0" applyFont="1"/>
    <xf numFmtId="171" fontId="0" fillId="17" borderId="0" xfId="0" applyNumberFormat="1" applyFill="1"/>
    <xf numFmtId="0" fontId="29" fillId="0" borderId="0" xfId="61" applyFont="1" applyAlignment="1" applyProtection="1"/>
    <xf numFmtId="1" fontId="32" fillId="0" borderId="24" xfId="62" applyNumberFormat="1" applyFont="1" applyBorder="1" applyAlignment="1" applyProtection="1">
      <alignment horizontal="center" vertical="center" wrapText="1"/>
    </xf>
    <xf numFmtId="1" fontId="32" fillId="0" borderId="28" xfId="62" applyNumberFormat="1" applyFont="1" applyBorder="1" applyAlignment="1" applyProtection="1">
      <alignment horizontal="center" vertical="center" wrapText="1"/>
    </xf>
    <xf numFmtId="0" fontId="30" fillId="0" borderId="34" xfId="63" applyFont="1" applyBorder="1" applyAlignment="1" applyProtection="1">
      <alignment horizontal="center" vertical="center" wrapText="1"/>
    </xf>
    <xf numFmtId="0" fontId="30" fillId="0" borderId="35" xfId="63" applyFont="1" applyBorder="1" applyAlignment="1" applyProtection="1">
      <alignment horizontal="center" vertical="center" wrapText="1"/>
    </xf>
    <xf numFmtId="0" fontId="30" fillId="0" borderId="36" xfId="63" applyFont="1" applyBorder="1" applyAlignment="1" applyProtection="1">
      <alignment horizontal="center" vertical="center" wrapText="1"/>
    </xf>
    <xf numFmtId="0" fontId="30" fillId="0" borderId="37" xfId="63" applyFont="1" applyBorder="1" applyAlignment="1" applyProtection="1">
      <alignment horizontal="center" vertical="center" wrapText="1"/>
    </xf>
    <xf numFmtId="0" fontId="30" fillId="0" borderId="38" xfId="63" applyFont="1" applyBorder="1" applyAlignment="1" applyProtection="1">
      <alignment horizontal="center" vertical="center" wrapText="1"/>
    </xf>
    <xf numFmtId="0" fontId="30" fillId="0" borderId="39" xfId="63" applyFont="1" applyBorder="1" applyAlignment="1" applyProtection="1">
      <alignment horizontal="center" vertical="center" wrapText="1"/>
    </xf>
    <xf numFmtId="0" fontId="30" fillId="0" borderId="40" xfId="63" applyFont="1" applyBorder="1" applyAlignment="1" applyProtection="1">
      <alignment horizontal="center" vertical="center" wrapText="1"/>
    </xf>
    <xf numFmtId="1" fontId="33" fillId="0" borderId="27" xfId="62" applyNumberFormat="1" applyFont="1" applyFill="1" applyBorder="1" applyProtection="1"/>
    <xf numFmtId="0" fontId="32" fillId="0" borderId="0" xfId="62" applyFont="1" applyBorder="1" applyAlignment="1" applyProtection="1"/>
    <xf numFmtId="0" fontId="33" fillId="0" borderId="0" xfId="62" applyFont="1" applyBorder="1" applyProtection="1"/>
    <xf numFmtId="1" fontId="33" fillId="0" borderId="24" xfId="62" applyNumberFormat="1" applyFont="1" applyFill="1" applyBorder="1" applyAlignment="1" applyProtection="1">
      <alignment horizontal="center"/>
    </xf>
    <xf numFmtId="1" fontId="33" fillId="0" borderId="41" xfId="62" applyNumberFormat="1" applyFont="1" applyFill="1" applyBorder="1" applyAlignment="1" applyProtection="1">
      <alignment horizontal="center"/>
    </xf>
    <xf numFmtId="1" fontId="33" fillId="0" borderId="42" xfId="62" applyNumberFormat="1" applyFont="1" applyFill="1" applyBorder="1" applyAlignment="1" applyProtection="1">
      <alignment horizontal="center"/>
    </xf>
    <xf numFmtId="1" fontId="33" fillId="0" borderId="43" xfId="62" applyNumberFormat="1" applyFont="1" applyFill="1" applyBorder="1" applyAlignment="1" applyProtection="1">
      <alignment horizontal="center"/>
    </xf>
    <xf numFmtId="0" fontId="32" fillId="0" borderId="0" xfId="62" applyFont="1" applyBorder="1" applyProtection="1"/>
    <xf numFmtId="1" fontId="33" fillId="0" borderId="29" xfId="62" applyNumberFormat="1" applyFont="1" applyFill="1" applyBorder="1" applyAlignment="1" applyProtection="1">
      <alignment horizontal="center"/>
    </xf>
    <xf numFmtId="1" fontId="33" fillId="0" borderId="44" xfId="62" applyNumberFormat="1" applyFont="1" applyFill="1" applyBorder="1" applyAlignment="1" applyProtection="1">
      <alignment horizontal="center"/>
    </xf>
    <xf numFmtId="1" fontId="33" fillId="0" borderId="45" xfId="62" applyNumberFormat="1" applyFont="1" applyFill="1" applyBorder="1" applyAlignment="1" applyProtection="1">
      <alignment horizontal="center"/>
    </xf>
    <xf numFmtId="1" fontId="33" fillId="0" borderId="16" xfId="62" applyNumberFormat="1" applyFont="1" applyFill="1" applyBorder="1" applyAlignment="1" applyProtection="1">
      <alignment horizontal="center"/>
    </xf>
    <xf numFmtId="170" fontId="33" fillId="0" borderId="29" xfId="62" applyNumberFormat="1" applyFont="1" applyFill="1" applyBorder="1" applyAlignment="1" applyProtection="1">
      <alignment horizontal="center"/>
    </xf>
    <xf numFmtId="0" fontId="33" fillId="0" borderId="27" xfId="62" applyFont="1" applyBorder="1" applyProtection="1"/>
    <xf numFmtId="172" fontId="32" fillId="18" borderId="38" xfId="62" applyNumberFormat="1" applyFont="1" applyFill="1" applyBorder="1" applyAlignment="1" applyProtection="1">
      <alignment horizontal="center"/>
    </xf>
    <xf numFmtId="172" fontId="33" fillId="0" borderId="46" xfId="62" applyNumberFormat="1" applyFont="1" applyFill="1" applyBorder="1" applyAlignment="1" applyProtection="1">
      <alignment horizontal="center"/>
    </xf>
    <xf numFmtId="172" fontId="33" fillId="0" borderId="47" xfId="62" applyNumberFormat="1" applyFont="1" applyFill="1" applyBorder="1" applyAlignment="1" applyProtection="1">
      <alignment horizontal="center"/>
    </xf>
    <xf numFmtId="170" fontId="34" fillId="19" borderId="38" xfId="62" applyNumberFormat="1" applyFont="1" applyFill="1" applyBorder="1" applyAlignment="1" applyProtection="1">
      <alignment horizontal="center"/>
      <protection locked="0"/>
    </xf>
    <xf numFmtId="172" fontId="33" fillId="0" borderId="10" xfId="62" applyNumberFormat="1" applyFont="1" applyFill="1" applyBorder="1" applyAlignment="1" applyProtection="1">
      <alignment horizontal="center"/>
    </xf>
    <xf numFmtId="172" fontId="32" fillId="0" borderId="29" xfId="62" applyNumberFormat="1" applyFont="1" applyFill="1" applyBorder="1" applyAlignment="1" applyProtection="1">
      <alignment horizontal="center"/>
    </xf>
    <xf numFmtId="172" fontId="33" fillId="0" borderId="44" xfId="62" applyNumberFormat="1" applyFont="1" applyFill="1" applyBorder="1" applyAlignment="1" applyProtection="1">
      <alignment horizontal="center"/>
    </xf>
    <xf numFmtId="172" fontId="33" fillId="0" borderId="45" xfId="62" applyNumberFormat="1" applyFont="1" applyFill="1" applyBorder="1" applyAlignment="1" applyProtection="1">
      <alignment horizontal="center"/>
    </xf>
    <xf numFmtId="172" fontId="33" fillId="0" borderId="16" xfId="62" applyNumberFormat="1" applyFont="1" applyFill="1" applyBorder="1" applyAlignment="1" applyProtection="1">
      <alignment horizontal="center"/>
    </xf>
    <xf numFmtId="170" fontId="33" fillId="0" borderId="29" xfId="62" applyNumberFormat="1" applyFont="1" applyFill="1" applyBorder="1" applyAlignment="1" applyProtection="1">
      <alignment horizontal="center"/>
      <protection locked="0"/>
    </xf>
    <xf numFmtId="1" fontId="32" fillId="0" borderId="30" xfId="62" applyNumberFormat="1" applyFont="1" applyBorder="1" applyProtection="1"/>
    <xf numFmtId="1" fontId="32" fillId="0" borderId="31" xfId="62" applyNumberFormat="1" applyFont="1" applyBorder="1" applyProtection="1"/>
    <xf numFmtId="172" fontId="34" fillId="0" borderId="33" xfId="62" applyNumberFormat="1" applyFont="1" applyFill="1" applyBorder="1" applyAlignment="1" applyProtection="1">
      <alignment horizontal="center"/>
    </xf>
    <xf numFmtId="172" fontId="33" fillId="0" borderId="48" xfId="62" applyNumberFormat="1" applyFont="1" applyFill="1" applyBorder="1" applyAlignment="1" applyProtection="1">
      <alignment horizontal="center"/>
    </xf>
    <xf numFmtId="172" fontId="33" fillId="0" borderId="49" xfId="62" applyNumberFormat="1" applyFont="1" applyFill="1" applyBorder="1" applyAlignment="1" applyProtection="1">
      <alignment horizontal="center"/>
    </xf>
    <xf numFmtId="172" fontId="33" fillId="0" borderId="50" xfId="62" applyNumberFormat="1" applyFont="1" applyFill="1" applyBorder="1" applyAlignment="1" applyProtection="1">
      <alignment horizontal="center"/>
    </xf>
    <xf numFmtId="172" fontId="33" fillId="0" borderId="33" xfId="62" applyNumberFormat="1" applyFont="1" applyFill="1" applyBorder="1" applyAlignment="1" applyProtection="1">
      <alignment horizontal="center"/>
    </xf>
    <xf numFmtId="170" fontId="34" fillId="0" borderId="33" xfId="62" applyNumberFormat="1" applyFont="1" applyFill="1" applyBorder="1" applyAlignment="1" applyProtection="1">
      <alignment horizontal="center"/>
      <protection locked="0"/>
    </xf>
    <xf numFmtId="0" fontId="33" fillId="0" borderId="21" xfId="62" applyFont="1" applyBorder="1" applyProtection="1"/>
    <xf numFmtId="0" fontId="32" fillId="0" borderId="22" xfId="62" applyFont="1" applyBorder="1" applyAlignment="1" applyProtection="1"/>
    <xf numFmtId="0" fontId="33" fillId="0" borderId="0" xfId="64" applyFont="1" applyAlignment="1" applyProtection="1"/>
    <xf numFmtId="172" fontId="32" fillId="0" borderId="24" xfId="62" applyNumberFormat="1" applyFont="1" applyFill="1" applyBorder="1" applyAlignment="1" applyProtection="1">
      <alignment horizontal="center"/>
    </xf>
    <xf numFmtId="172" fontId="33" fillId="0" borderId="41" xfId="62" applyNumberFormat="1" applyFont="1" applyFill="1" applyBorder="1" applyAlignment="1" applyProtection="1">
      <alignment horizontal="center"/>
    </xf>
    <xf numFmtId="172" fontId="33" fillId="0" borderId="42" xfId="62" applyNumberFormat="1" applyFont="1" applyFill="1" applyBorder="1" applyAlignment="1" applyProtection="1">
      <alignment horizontal="center"/>
    </xf>
    <xf numFmtId="172" fontId="33" fillId="0" borderId="43" xfId="62" applyNumberFormat="1" applyFont="1" applyFill="1" applyBorder="1" applyAlignment="1" applyProtection="1">
      <alignment horizontal="center"/>
    </xf>
    <xf numFmtId="170" fontId="33" fillId="0" borderId="24" xfId="62" applyNumberFormat="1" applyFont="1" applyFill="1" applyBorder="1" applyAlignment="1" applyProtection="1">
      <alignment horizontal="center"/>
      <protection locked="0"/>
    </xf>
    <xf numFmtId="170" fontId="34" fillId="0" borderId="33" xfId="62" applyNumberFormat="1" applyFont="1" applyFill="1" applyBorder="1" applyAlignment="1" applyProtection="1">
      <alignment horizontal="center"/>
    </xf>
    <xf numFmtId="0" fontId="2" fillId="0" borderId="0" xfId="63" applyAlignment="1" applyProtection="1">
      <alignment vertical="center"/>
    </xf>
    <xf numFmtId="0" fontId="30" fillId="0" borderId="0" xfId="63" applyFont="1" applyAlignment="1" applyProtection="1">
      <alignment vertical="center"/>
    </xf>
    <xf numFmtId="0" fontId="2" fillId="0" borderId="0" xfId="63" applyAlignment="1" applyProtection="1">
      <alignment horizontal="center" vertical="center"/>
    </xf>
    <xf numFmtId="43" fontId="2" fillId="0" borderId="0" xfId="2" applyFont="1" applyAlignment="1" applyProtection="1">
      <alignment horizontal="center" vertical="center"/>
    </xf>
    <xf numFmtId="43" fontId="2" fillId="0" borderId="0" xfId="2" applyFont="1" applyAlignment="1" applyProtection="1">
      <alignment vertical="center"/>
    </xf>
    <xf numFmtId="43" fontId="0" fillId="0" borderId="0" xfId="2" applyFont="1" applyAlignment="1" applyProtection="1">
      <alignment vertical="center"/>
    </xf>
    <xf numFmtId="0" fontId="0" fillId="0" borderId="0" xfId="0" applyAlignment="1">
      <alignment vertical="center"/>
    </xf>
    <xf numFmtId="0" fontId="2" fillId="0" borderId="0" xfId="63" applyProtection="1"/>
    <xf numFmtId="0" fontId="2" fillId="0" borderId="0" xfId="63" applyAlignment="1" applyProtection="1">
      <alignment horizontal="center"/>
    </xf>
    <xf numFmtId="0" fontId="0" fillId="0" borderId="0" xfId="0" applyProtection="1"/>
    <xf numFmtId="0" fontId="30" fillId="0" borderId="52" xfId="63" applyFont="1" applyBorder="1" applyAlignment="1" applyProtection="1">
      <alignment horizontal="centerContinuous" vertical="center"/>
    </xf>
    <xf numFmtId="0" fontId="30" fillId="0" borderId="53" xfId="63" applyFont="1" applyBorder="1" applyAlignment="1" applyProtection="1">
      <alignment horizontal="centerContinuous" vertical="center"/>
    </xf>
    <xf numFmtId="0" fontId="2" fillId="0" borderId="54" xfId="63" applyBorder="1" applyAlignment="1" applyProtection="1">
      <alignment horizontal="centerContinuous" vertical="center"/>
    </xf>
    <xf numFmtId="0" fontId="2" fillId="0" borderId="53" xfId="63" applyBorder="1" applyAlignment="1" applyProtection="1">
      <alignment horizontal="centerContinuous" vertical="center"/>
    </xf>
    <xf numFmtId="0" fontId="30" fillId="0" borderId="55" xfId="63" applyFont="1" applyBorder="1" applyAlignment="1" applyProtection="1">
      <alignment horizontal="centerContinuous" vertical="center"/>
    </xf>
    <xf numFmtId="0" fontId="30" fillId="0" borderId="56" xfId="63" applyFont="1" applyBorder="1" applyAlignment="1" applyProtection="1">
      <alignment horizontal="centerContinuous" vertical="center"/>
    </xf>
    <xf numFmtId="0" fontId="30" fillId="0" borderId="57" xfId="63" applyFont="1" applyBorder="1" applyAlignment="1" applyProtection="1">
      <alignment horizontal="centerContinuous" vertical="center"/>
    </xf>
    <xf numFmtId="0" fontId="30" fillId="0" borderId="58" xfId="63" applyFont="1" applyBorder="1" applyAlignment="1" applyProtection="1">
      <alignment horizontal="center" vertical="center" wrapText="1"/>
    </xf>
    <xf numFmtId="0" fontId="30" fillId="0" borderId="60" xfId="63" applyFont="1" applyBorder="1" applyAlignment="1" applyProtection="1">
      <alignment horizontal="center" vertical="center" wrapText="1"/>
    </xf>
    <xf numFmtId="0" fontId="30" fillId="0" borderId="59" xfId="63" applyFont="1" applyBorder="1" applyAlignment="1" applyProtection="1">
      <alignment horizontal="center" vertical="center" wrapText="1"/>
    </xf>
    <xf numFmtId="0" fontId="30" fillId="0" borderId="20" xfId="63" applyFont="1" applyBorder="1" applyAlignment="1" applyProtection="1">
      <alignment horizontal="center" vertical="center" wrapText="1"/>
    </xf>
    <xf numFmtId="0" fontId="30" fillId="0" borderId="46" xfId="63" applyFont="1" applyBorder="1" applyAlignment="1" applyProtection="1">
      <alignment horizontal="center" vertical="center" wrapText="1"/>
    </xf>
    <xf numFmtId="0" fontId="30" fillId="0" borderId="47" xfId="63" applyFont="1" applyBorder="1" applyAlignment="1" applyProtection="1">
      <alignment horizontal="center" vertical="center" wrapText="1"/>
    </xf>
    <xf numFmtId="0" fontId="30" fillId="0" borderId="61" xfId="63" applyFont="1" applyBorder="1" applyAlignment="1" applyProtection="1">
      <alignment horizontal="center" vertical="center" wrapText="1"/>
    </xf>
    <xf numFmtId="0" fontId="2" fillId="0" borderId="27" xfId="63" applyBorder="1" applyAlignment="1" applyProtection="1">
      <alignment vertical="center"/>
    </xf>
    <xf numFmtId="0" fontId="2" fillId="0" borderId="62" xfId="63" applyNumberFormat="1" applyFont="1" applyBorder="1" applyAlignment="1" applyProtection="1">
      <alignment horizontal="center" vertical="center" wrapText="1"/>
    </xf>
    <xf numFmtId="43" fontId="2" fillId="0" borderId="58" xfId="2" applyFont="1" applyFill="1" applyBorder="1" applyAlignment="1" applyProtection="1">
      <alignment horizontal="center" vertical="center"/>
    </xf>
    <xf numFmtId="43" fontId="2" fillId="0" borderId="20" xfId="2" applyFont="1" applyFill="1" applyBorder="1" applyAlignment="1" applyProtection="1">
      <alignment horizontal="center" vertical="center"/>
    </xf>
    <xf numFmtId="43" fontId="2" fillId="0" borderId="59" xfId="2" applyFont="1" applyFill="1" applyBorder="1" applyAlignment="1" applyProtection="1">
      <alignment horizontal="center" vertical="center"/>
    </xf>
    <xf numFmtId="43" fontId="2" fillId="0" borderId="60" xfId="2" applyFont="1" applyFill="1" applyBorder="1" applyAlignment="1" applyProtection="1">
      <alignment horizontal="center" vertical="center"/>
    </xf>
    <xf numFmtId="43" fontId="2" fillId="18" borderId="46" xfId="2" applyFont="1" applyFill="1" applyBorder="1" applyAlignment="1" applyProtection="1">
      <alignment horizontal="center" vertical="center"/>
    </xf>
    <xf numFmtId="43" fontId="2" fillId="18" borderId="47" xfId="2" applyFont="1" applyFill="1" applyBorder="1" applyAlignment="1" applyProtection="1">
      <alignment horizontal="center" vertical="center"/>
    </xf>
    <xf numFmtId="43" fontId="2" fillId="18" borderId="61" xfId="2" applyFont="1" applyFill="1" applyBorder="1" applyAlignment="1" applyProtection="1">
      <alignment horizontal="center" vertical="center"/>
    </xf>
    <xf numFmtId="43" fontId="2" fillId="0" borderId="46" xfId="2" applyFont="1" applyFill="1" applyBorder="1" applyAlignment="1" applyProtection="1">
      <alignment horizontal="center" vertical="center"/>
    </xf>
    <xf numFmtId="43" fontId="2" fillId="0" borderId="12" xfId="2" applyFont="1" applyFill="1" applyBorder="1" applyAlignment="1" applyProtection="1">
      <alignment horizontal="center" vertical="center"/>
    </xf>
    <xf numFmtId="43" fontId="2" fillId="0" borderId="61" xfId="2" applyFont="1" applyFill="1" applyBorder="1" applyAlignment="1" applyProtection="1">
      <alignment horizontal="center" vertical="center"/>
    </xf>
    <xf numFmtId="43" fontId="2" fillId="0" borderId="47" xfId="2" applyFont="1" applyFill="1" applyBorder="1" applyAlignment="1" applyProtection="1">
      <alignment horizontal="center" vertical="center"/>
    </xf>
    <xf numFmtId="43" fontId="30" fillId="18" borderId="46" xfId="2" applyFont="1" applyFill="1" applyBorder="1" applyAlignment="1" applyProtection="1">
      <alignment horizontal="center" vertical="center"/>
    </xf>
    <xf numFmtId="43" fontId="30" fillId="18" borderId="47" xfId="2" applyFont="1" applyFill="1" applyBorder="1" applyAlignment="1" applyProtection="1">
      <alignment horizontal="center" vertical="center"/>
    </xf>
    <xf numFmtId="43" fontId="30" fillId="18" borderId="61" xfId="2" applyFont="1" applyFill="1" applyBorder="1" applyAlignment="1" applyProtection="1">
      <alignment horizontal="center" vertical="center"/>
    </xf>
    <xf numFmtId="43" fontId="30" fillId="18" borderId="12" xfId="2" applyFont="1" applyFill="1" applyBorder="1" applyAlignment="1" applyProtection="1">
      <alignment horizontal="center" vertical="center"/>
    </xf>
    <xf numFmtId="0" fontId="2" fillId="0" borderId="30" xfId="63" applyBorder="1" applyAlignment="1" applyProtection="1">
      <alignment vertical="center"/>
    </xf>
    <xf numFmtId="0" fontId="2" fillId="0" borderId="63" xfId="63" applyNumberFormat="1" applyFont="1" applyBorder="1" applyAlignment="1" applyProtection="1">
      <alignment horizontal="center" vertical="center" wrapText="1"/>
    </xf>
    <xf numFmtId="43" fontId="30" fillId="18" borderId="36" xfId="2" applyFont="1" applyFill="1" applyBorder="1" applyAlignment="1" applyProtection="1">
      <alignment horizontal="center" vertical="center"/>
    </xf>
    <xf numFmtId="43" fontId="30" fillId="18" borderId="35" xfId="2" applyFont="1" applyFill="1" applyBorder="1" applyAlignment="1" applyProtection="1">
      <alignment horizontal="center" vertical="center"/>
    </xf>
    <xf numFmtId="43" fontId="30" fillId="18" borderId="39" xfId="2" applyFont="1" applyFill="1" applyBorder="1" applyAlignment="1" applyProtection="1">
      <alignment horizontal="center" vertical="center"/>
    </xf>
    <xf numFmtId="43" fontId="30" fillId="18" borderId="34" xfId="2" applyFont="1" applyFill="1" applyBorder="1" applyAlignment="1" applyProtection="1">
      <alignment horizontal="center" vertical="center"/>
    </xf>
    <xf numFmtId="43" fontId="2" fillId="18" borderId="36" xfId="2" applyFont="1" applyFill="1" applyBorder="1" applyAlignment="1" applyProtection="1">
      <alignment horizontal="center" vertical="center"/>
    </xf>
    <xf numFmtId="43" fontId="2" fillId="18" borderId="35" xfId="2" applyFont="1" applyFill="1" applyBorder="1" applyAlignment="1" applyProtection="1">
      <alignment horizontal="center" vertical="center"/>
    </xf>
    <xf numFmtId="43" fontId="2" fillId="18" borderId="39" xfId="2" applyFont="1" applyFill="1" applyBorder="1" applyAlignment="1" applyProtection="1">
      <alignment horizontal="center" vertical="center"/>
    </xf>
    <xf numFmtId="43" fontId="2" fillId="0" borderId="0" xfId="2" applyFont="1" applyProtection="1"/>
    <xf numFmtId="43" fontId="0" fillId="0" borderId="0" xfId="2" applyFont="1" applyProtection="1"/>
    <xf numFmtId="0" fontId="30" fillId="0" borderId="0" xfId="63" applyFont="1" applyProtection="1"/>
    <xf numFmtId="43" fontId="30" fillId="0" borderId="52" xfId="2" applyFont="1" applyBorder="1" applyAlignment="1" applyProtection="1">
      <alignment horizontal="centerContinuous" vertical="center"/>
    </xf>
    <xf numFmtId="43" fontId="30" fillId="0" borderId="53" xfId="2" applyFont="1" applyBorder="1" applyAlignment="1" applyProtection="1">
      <alignment horizontal="centerContinuous" vertical="center"/>
    </xf>
    <xf numFmtId="43" fontId="2" fillId="0" borderId="54" xfId="2" applyFont="1" applyBorder="1" applyAlignment="1" applyProtection="1">
      <alignment horizontal="centerContinuous" vertical="center"/>
    </xf>
    <xf numFmtId="43" fontId="2" fillId="0" borderId="53" xfId="2" applyFont="1" applyBorder="1" applyAlignment="1" applyProtection="1">
      <alignment horizontal="centerContinuous" vertical="center"/>
    </xf>
    <xf numFmtId="43" fontId="30" fillId="0" borderId="58" xfId="2" applyFont="1" applyBorder="1" applyAlignment="1" applyProtection="1">
      <alignment horizontal="center" vertical="center" wrapText="1"/>
    </xf>
    <xf numFmtId="43" fontId="30" fillId="0" borderId="60" xfId="2" applyFont="1" applyBorder="1" applyAlignment="1" applyProtection="1">
      <alignment horizontal="center" vertical="center" wrapText="1"/>
    </xf>
    <xf numFmtId="43" fontId="30" fillId="0" borderId="59" xfId="2" applyFont="1" applyBorder="1" applyAlignment="1" applyProtection="1">
      <alignment horizontal="center" vertical="center" wrapText="1"/>
    </xf>
    <xf numFmtId="43" fontId="30" fillId="0" borderId="20" xfId="2" applyFont="1" applyBorder="1" applyAlignment="1" applyProtection="1">
      <alignment horizontal="center" vertical="center" wrapText="1"/>
    </xf>
    <xf numFmtId="0" fontId="30" fillId="0" borderId="44" xfId="63" applyFont="1" applyBorder="1" applyAlignment="1" applyProtection="1">
      <alignment horizontal="left" indent="1"/>
    </xf>
    <xf numFmtId="0" fontId="2" fillId="0" borderId="62" xfId="63" applyFill="1" applyBorder="1" applyAlignment="1" applyProtection="1">
      <alignment horizontal="center"/>
    </xf>
    <xf numFmtId="43" fontId="2" fillId="0" borderId="64" xfId="2" applyFont="1" applyFill="1" applyBorder="1" applyAlignment="1" applyProtection="1">
      <alignment horizontal="center" vertical="center"/>
    </xf>
    <xf numFmtId="43" fontId="2" fillId="0" borderId="19" xfId="2" applyFont="1" applyFill="1" applyBorder="1" applyAlignment="1" applyProtection="1">
      <alignment horizontal="center" vertical="center"/>
    </xf>
    <xf numFmtId="43" fontId="2" fillId="0" borderId="65" xfId="2" applyFont="1" applyFill="1" applyBorder="1" applyAlignment="1" applyProtection="1">
      <alignment horizontal="center" vertical="center"/>
    </xf>
    <xf numFmtId="0" fontId="30" fillId="0" borderId="44" xfId="63" applyFont="1" applyBorder="1" applyAlignment="1" applyProtection="1">
      <alignment horizontal="left" vertical="center" wrapText="1"/>
    </xf>
    <xf numFmtId="0" fontId="2" fillId="0" borderId="62" xfId="63" applyNumberFormat="1" applyFont="1" applyBorder="1" applyAlignment="1" applyProtection="1">
      <alignment horizontal="center" wrapText="1"/>
    </xf>
    <xf numFmtId="43" fontId="2" fillId="19" borderId="46" xfId="2" applyFont="1" applyFill="1" applyBorder="1" applyAlignment="1" applyProtection="1">
      <alignment horizontal="center" vertical="center"/>
      <protection locked="0"/>
    </xf>
    <xf numFmtId="0" fontId="2" fillId="0" borderId="44" xfId="63" applyFont="1" applyBorder="1" applyAlignment="1" applyProtection="1">
      <alignment horizontal="left" vertical="center" wrapText="1" indent="1"/>
    </xf>
    <xf numFmtId="43" fontId="35" fillId="19" borderId="46" xfId="2" applyFont="1" applyFill="1" applyBorder="1" applyAlignment="1" applyProtection="1">
      <alignment horizontal="center" vertical="center"/>
      <protection locked="0"/>
    </xf>
    <xf numFmtId="43" fontId="35" fillId="19" borderId="12" xfId="2" applyFont="1" applyFill="1" applyBorder="1" applyAlignment="1" applyProtection="1">
      <alignment horizontal="center" vertical="center"/>
      <protection locked="0"/>
    </xf>
    <xf numFmtId="43" fontId="35" fillId="19" borderId="61" xfId="2" applyFont="1" applyFill="1" applyBorder="1" applyAlignment="1" applyProtection="1">
      <alignment horizontal="center" vertical="center"/>
      <protection locked="0"/>
    </xf>
    <xf numFmtId="43" fontId="35" fillId="19" borderId="47" xfId="2" applyFont="1" applyFill="1" applyBorder="1" applyAlignment="1" applyProtection="1">
      <alignment horizontal="center" vertical="center"/>
      <protection locked="0"/>
    </xf>
    <xf numFmtId="0" fontId="30" fillId="0" borderId="44" xfId="63" applyFont="1" applyBorder="1" applyAlignment="1" applyProtection="1">
      <alignment horizontal="left" vertical="center"/>
    </xf>
    <xf numFmtId="0" fontId="2" fillId="0" borderId="62" xfId="63" applyNumberFormat="1" applyBorder="1" applyAlignment="1" applyProtection="1">
      <alignment horizontal="center"/>
    </xf>
    <xf numFmtId="43" fontId="2" fillId="0" borderId="66" xfId="2" applyFont="1" applyBorder="1" applyAlignment="1" applyProtection="1">
      <alignment horizontal="center" vertical="center"/>
    </xf>
    <xf numFmtId="43" fontId="2" fillId="0" borderId="14" xfId="2" applyFont="1" applyBorder="1" applyAlignment="1" applyProtection="1">
      <alignment horizontal="center" vertical="center"/>
    </xf>
    <xf numFmtId="43" fontId="2" fillId="0" borderId="67" xfId="2" applyFont="1" applyBorder="1" applyAlignment="1" applyProtection="1">
      <alignment horizontal="center" vertical="center"/>
    </xf>
    <xf numFmtId="0" fontId="30" fillId="0" borderId="27" xfId="63" applyFont="1" applyBorder="1" applyAlignment="1" applyProtection="1">
      <alignment horizontal="left" vertical="center" wrapText="1"/>
    </xf>
    <xf numFmtId="0" fontId="2" fillId="0" borderId="27" xfId="63" applyFont="1" applyBorder="1" applyAlignment="1" applyProtection="1">
      <alignment horizontal="left" vertical="center" indent="1"/>
    </xf>
    <xf numFmtId="43" fontId="2" fillId="0" borderId="27" xfId="2" applyFont="1" applyBorder="1" applyAlignment="1" applyProtection="1">
      <alignment horizontal="center" vertical="center"/>
    </xf>
    <xf numFmtId="43" fontId="2" fillId="0" borderId="0" xfId="2" applyFont="1" applyBorder="1" applyAlignment="1" applyProtection="1">
      <alignment horizontal="center" vertical="center"/>
    </xf>
    <xf numFmtId="43" fontId="2" fillId="0" borderId="28" xfId="2" applyFont="1" applyBorder="1" applyAlignment="1" applyProtection="1">
      <alignment horizontal="center" vertical="center"/>
    </xf>
    <xf numFmtId="43" fontId="2" fillId="0" borderId="64" xfId="2" applyFont="1" applyBorder="1" applyProtection="1"/>
    <xf numFmtId="43" fontId="2" fillId="0" borderId="19" xfId="2" applyFont="1" applyBorder="1" applyProtection="1"/>
    <xf numFmtId="43" fontId="2" fillId="0" borderId="65" xfId="2" applyFont="1" applyBorder="1" applyProtection="1"/>
    <xf numFmtId="0" fontId="30" fillId="0" borderId="30" xfId="63" applyFont="1" applyBorder="1" applyAlignment="1" applyProtection="1">
      <alignment horizontal="left" vertical="center" wrapText="1"/>
    </xf>
    <xf numFmtId="0" fontId="2" fillId="0" borderId="63" xfId="63" applyNumberFormat="1" applyFont="1" applyBorder="1" applyAlignment="1" applyProtection="1">
      <alignment horizontal="center" wrapText="1"/>
    </xf>
    <xf numFmtId="43" fontId="36" fillId="0" borderId="0" xfId="2" applyFont="1" applyProtection="1"/>
    <xf numFmtId="0" fontId="30" fillId="0" borderId="44" xfId="63" applyFont="1" applyBorder="1" applyAlignment="1" applyProtection="1">
      <alignment vertical="center"/>
    </xf>
    <xf numFmtId="0" fontId="30" fillId="0" borderId="16" xfId="63" applyFont="1" applyBorder="1" applyAlignment="1" applyProtection="1">
      <alignment horizontal="center"/>
    </xf>
    <xf numFmtId="43" fontId="30" fillId="0" borderId="66" xfId="2" applyFont="1" applyBorder="1" applyAlignment="1" applyProtection="1">
      <alignment horizontal="center" vertical="center"/>
    </xf>
    <xf numFmtId="43" fontId="30" fillId="0" borderId="14" xfId="2" applyFont="1" applyBorder="1" applyAlignment="1" applyProtection="1">
      <alignment horizontal="center" vertical="center"/>
    </xf>
    <xf numFmtId="43" fontId="30" fillId="0" borderId="67" xfId="2" applyFont="1" applyBorder="1" applyAlignment="1" applyProtection="1">
      <alignment horizontal="center" vertical="center"/>
    </xf>
    <xf numFmtId="43" fontId="0" fillId="0" borderId="0" xfId="2" applyFont="1" applyBorder="1" applyProtection="1"/>
    <xf numFmtId="0" fontId="2" fillId="0" borderId="16" xfId="63" applyNumberFormat="1" applyFont="1" applyBorder="1" applyAlignment="1" applyProtection="1">
      <alignment horizontal="center" wrapText="1"/>
    </xf>
    <xf numFmtId="43" fontId="30" fillId="0" borderId="27" xfId="2" applyFont="1" applyBorder="1" applyAlignment="1" applyProtection="1">
      <alignment horizontal="center" vertical="center"/>
    </xf>
    <xf numFmtId="43" fontId="30" fillId="0" borderId="0" xfId="2" applyFont="1" applyBorder="1" applyAlignment="1" applyProtection="1">
      <alignment horizontal="center" vertical="center"/>
    </xf>
    <xf numFmtId="43" fontId="30" fillId="0" borderId="28" xfId="2" applyFont="1" applyBorder="1" applyAlignment="1" applyProtection="1">
      <alignment horizontal="center" vertical="center"/>
    </xf>
    <xf numFmtId="0" fontId="2" fillId="0" borderId="44" xfId="63" applyFont="1" applyBorder="1" applyAlignment="1" applyProtection="1">
      <alignment horizontal="left" vertical="center" indent="1"/>
    </xf>
    <xf numFmtId="43" fontId="35" fillId="19" borderId="68" xfId="2" applyFont="1" applyFill="1" applyBorder="1" applyAlignment="1" applyProtection="1">
      <alignment horizontal="center" vertical="center"/>
      <protection locked="0"/>
    </xf>
    <xf numFmtId="43" fontId="35" fillId="19" borderId="15" xfId="2" applyFont="1" applyFill="1" applyBorder="1" applyAlignment="1" applyProtection="1">
      <alignment horizontal="center" vertical="center"/>
      <protection locked="0"/>
    </xf>
    <xf numFmtId="43" fontId="35" fillId="19" borderId="69" xfId="2" applyFont="1" applyFill="1" applyBorder="1" applyAlignment="1" applyProtection="1">
      <alignment horizontal="center" vertical="center"/>
      <protection locked="0"/>
    </xf>
    <xf numFmtId="43" fontId="35" fillId="19" borderId="70" xfId="2" applyFont="1" applyFill="1" applyBorder="1" applyAlignment="1" applyProtection="1">
      <alignment horizontal="center" vertical="center"/>
      <protection locked="0"/>
    </xf>
    <xf numFmtId="43" fontId="36" fillId="0" borderId="0" xfId="2" applyFont="1" applyBorder="1" applyProtection="1"/>
    <xf numFmtId="0" fontId="30" fillId="0" borderId="48" xfId="63" applyFont="1" applyBorder="1" applyAlignment="1" applyProtection="1">
      <alignment horizontal="left" vertical="center" wrapText="1"/>
    </xf>
    <xf numFmtId="0" fontId="2" fillId="0" borderId="50" xfId="63" applyNumberFormat="1" applyFont="1" applyBorder="1" applyAlignment="1" applyProtection="1">
      <alignment horizontal="center" wrapText="1"/>
    </xf>
    <xf numFmtId="0" fontId="30" fillId="0" borderId="0" xfId="63" applyFont="1" applyBorder="1" applyAlignment="1" applyProtection="1">
      <alignment horizontal="left" wrapText="1" indent="1"/>
    </xf>
    <xf numFmtId="0" fontId="0" fillId="0" borderId="0" xfId="0" applyAlignment="1" applyProtection="1">
      <alignment horizontal="center"/>
    </xf>
    <xf numFmtId="0" fontId="30" fillId="0" borderId="0" xfId="63" applyFont="1" applyAlignment="1" applyProtection="1">
      <alignment horizontal="left" wrapText="1" indent="1"/>
    </xf>
    <xf numFmtId="0" fontId="2" fillId="0" borderId="0" xfId="63" applyNumberFormat="1" applyFont="1" applyAlignment="1" applyProtection="1">
      <alignment horizontal="center" wrapText="1"/>
    </xf>
    <xf numFmtId="43" fontId="2" fillId="0" borderId="0" xfId="2" applyFont="1" applyFill="1" applyAlignment="1" applyProtection="1">
      <alignment horizontal="center" vertical="center"/>
    </xf>
    <xf numFmtId="43" fontId="30" fillId="0" borderId="55" xfId="2" applyFont="1" applyBorder="1" applyAlignment="1" applyProtection="1">
      <alignment horizontal="centerContinuous" vertical="center"/>
    </xf>
    <xf numFmtId="43" fontId="30" fillId="0" borderId="56" xfId="2" applyFont="1" applyBorder="1" applyAlignment="1" applyProtection="1">
      <alignment horizontal="centerContinuous" vertical="center"/>
    </xf>
    <xf numFmtId="43" fontId="30" fillId="0" borderId="57" xfId="2" applyFont="1" applyBorder="1" applyAlignment="1" applyProtection="1">
      <alignment horizontal="centerContinuous" vertical="center"/>
    </xf>
    <xf numFmtId="43" fontId="30" fillId="0" borderId="46" xfId="2" applyFont="1" applyBorder="1" applyAlignment="1" applyProtection="1">
      <alignment horizontal="center" vertical="center" wrapText="1"/>
    </xf>
    <xf numFmtId="43" fontId="30" fillId="0" borderId="47" xfId="2" applyFont="1" applyBorder="1" applyAlignment="1" applyProtection="1">
      <alignment horizontal="center" vertical="center" wrapText="1"/>
    </xf>
    <xf numFmtId="43" fontId="30" fillId="0" borderId="61" xfId="2" applyFont="1" applyBorder="1" applyAlignment="1" applyProtection="1">
      <alignment horizontal="center" vertical="center" wrapText="1"/>
    </xf>
    <xf numFmtId="0" fontId="30" fillId="0" borderId="27" xfId="63" applyFont="1" applyBorder="1" applyAlignment="1" applyProtection="1">
      <alignment vertical="center"/>
    </xf>
    <xf numFmtId="0" fontId="30" fillId="0" borderId="13" xfId="63" applyFont="1" applyBorder="1" applyAlignment="1" applyProtection="1">
      <alignment horizontal="center"/>
    </xf>
    <xf numFmtId="0" fontId="30" fillId="0" borderId="27" xfId="63" applyFont="1" applyBorder="1" applyAlignment="1" applyProtection="1">
      <alignment horizontal="left" vertical="center"/>
    </xf>
    <xf numFmtId="0" fontId="2" fillId="0" borderId="16" xfId="63" applyFill="1" applyBorder="1" applyAlignment="1" applyProtection="1">
      <alignment horizontal="center"/>
    </xf>
    <xf numFmtId="43" fontId="2" fillId="0" borderId="64" xfId="2" applyFont="1" applyBorder="1" applyAlignment="1" applyProtection="1">
      <alignment horizontal="center" vertical="center"/>
    </xf>
    <xf numFmtId="43" fontId="2" fillId="0" borderId="19" xfId="2" applyFont="1" applyBorder="1" applyAlignment="1" applyProtection="1">
      <alignment horizontal="center" vertical="center"/>
    </xf>
    <xf numFmtId="43" fontId="2" fillId="0" borderId="65" xfId="2" applyFont="1" applyBorder="1" applyAlignment="1" applyProtection="1">
      <alignment horizontal="center" vertical="center"/>
    </xf>
    <xf numFmtId="0" fontId="2" fillId="0" borderId="27" xfId="63" applyBorder="1" applyAlignment="1" applyProtection="1">
      <alignment horizontal="left" vertical="center" wrapText="1" indent="1"/>
    </xf>
    <xf numFmtId="0" fontId="30" fillId="0" borderId="27" xfId="63" applyFont="1" applyBorder="1" applyAlignment="1" applyProtection="1">
      <alignment horizontal="left" vertical="center" wrapText="1" indent="1"/>
    </xf>
    <xf numFmtId="43" fontId="2" fillId="18" borderId="12" xfId="2" applyFont="1" applyFill="1" applyBorder="1" applyAlignment="1" applyProtection="1">
      <alignment horizontal="center" vertical="center"/>
    </xf>
    <xf numFmtId="0" fontId="2" fillId="0" borderId="16" xfId="63" applyNumberFormat="1" applyBorder="1" applyAlignment="1" applyProtection="1">
      <alignment horizontal="center"/>
    </xf>
    <xf numFmtId="43" fontId="2" fillId="0" borderId="71" xfId="2" applyFont="1" applyBorder="1" applyAlignment="1" applyProtection="1">
      <alignment horizontal="center" vertical="center"/>
    </xf>
    <xf numFmtId="43" fontId="2" fillId="0" borderId="11" xfId="2" applyFont="1" applyBorder="1" applyAlignment="1" applyProtection="1">
      <alignment horizontal="center" vertical="center"/>
    </xf>
    <xf numFmtId="43" fontId="2" fillId="0" borderId="40" xfId="2" applyFont="1" applyBorder="1" applyAlignment="1" applyProtection="1">
      <alignment horizontal="center" vertical="center"/>
    </xf>
    <xf numFmtId="43" fontId="2" fillId="0" borderId="71" xfId="2" applyFont="1" applyFill="1" applyBorder="1" applyAlignment="1" applyProtection="1">
      <alignment horizontal="center" vertical="center"/>
    </xf>
    <xf numFmtId="43" fontId="35" fillId="20" borderId="46" xfId="2" applyFont="1" applyFill="1" applyBorder="1" applyAlignment="1" applyProtection="1">
      <alignment horizontal="center" vertical="center"/>
    </xf>
    <xf numFmtId="43" fontId="35" fillId="20" borderId="12" xfId="2" applyFont="1" applyFill="1" applyBorder="1" applyAlignment="1" applyProtection="1">
      <alignment horizontal="center" vertical="center"/>
    </xf>
    <xf numFmtId="43" fontId="35" fillId="20" borderId="36" xfId="2" applyFont="1" applyFill="1" applyBorder="1" applyAlignment="1" applyProtection="1">
      <alignment horizontal="center" vertical="center"/>
    </xf>
    <xf numFmtId="43" fontId="35" fillId="20" borderId="34" xfId="2" applyFont="1" applyFill="1" applyBorder="1" applyAlignment="1" applyProtection="1">
      <alignment horizontal="center" vertical="center"/>
    </xf>
    <xf numFmtId="43" fontId="35" fillId="19" borderId="34" xfId="2" applyFont="1" applyFill="1" applyBorder="1" applyAlignment="1" applyProtection="1">
      <alignment horizontal="center" vertical="center"/>
      <protection locked="0"/>
    </xf>
    <xf numFmtId="43" fontId="35" fillId="19" borderId="39" xfId="2" applyFont="1" applyFill="1" applyBorder="1" applyAlignment="1" applyProtection="1">
      <alignment horizontal="center" vertical="center"/>
      <protection locked="0"/>
    </xf>
    <xf numFmtId="43" fontId="35" fillId="19" borderId="35" xfId="2" applyFont="1" applyFill="1" applyBorder="1" applyAlignment="1" applyProtection="1">
      <alignment horizontal="center" vertical="center"/>
      <protection locked="0"/>
    </xf>
    <xf numFmtId="0" fontId="30" fillId="0" borderId="27" xfId="63" applyFont="1" applyBorder="1" applyAlignment="1" applyProtection="1">
      <alignment horizontal="left" vertical="center" indent="1"/>
    </xf>
    <xf numFmtId="0" fontId="2" fillId="0" borderId="27" xfId="63" applyBorder="1" applyAlignment="1" applyProtection="1">
      <alignment horizontal="left" vertical="center" wrapText="1" indent="2"/>
    </xf>
    <xf numFmtId="0" fontId="30" fillId="0" borderId="27" xfId="63" applyFont="1" applyBorder="1" applyAlignment="1" applyProtection="1">
      <alignment horizontal="left" vertical="center" wrapText="1" indent="2"/>
    </xf>
    <xf numFmtId="0" fontId="30" fillId="0" borderId="30" xfId="63" applyFont="1" applyBorder="1" applyAlignment="1" applyProtection="1">
      <alignment horizontal="left" vertical="center" indent="1"/>
    </xf>
    <xf numFmtId="0" fontId="2" fillId="0" borderId="27" xfId="63" applyFont="1" applyBorder="1" applyAlignment="1" applyProtection="1">
      <alignment horizontal="left" vertical="center" wrapText="1"/>
    </xf>
    <xf numFmtId="0" fontId="2" fillId="0" borderId="62" xfId="63" applyBorder="1" applyAlignment="1" applyProtection="1">
      <alignment horizontal="center" vertical="center"/>
    </xf>
    <xf numFmtId="43" fontId="2" fillId="18" borderId="58" xfId="2" applyFont="1" applyFill="1" applyBorder="1" applyAlignment="1" applyProtection="1">
      <alignment horizontal="center" vertical="center"/>
    </xf>
    <xf numFmtId="43" fontId="2" fillId="18" borderId="60" xfId="2" applyFont="1" applyFill="1" applyBorder="1" applyAlignment="1" applyProtection="1">
      <alignment horizontal="center" vertical="center"/>
    </xf>
    <xf numFmtId="43" fontId="2" fillId="18" borderId="59" xfId="2" applyFont="1" applyFill="1" applyBorder="1" applyAlignment="1" applyProtection="1">
      <alignment horizontal="center" vertical="center"/>
    </xf>
    <xf numFmtId="0" fontId="2" fillId="0" borderId="30" xfId="63" applyFont="1" applyBorder="1" applyAlignment="1" applyProtection="1">
      <alignment horizontal="left" vertical="center" wrapText="1"/>
    </xf>
    <xf numFmtId="0" fontId="2" fillId="0" borderId="63" xfId="63" applyBorder="1" applyAlignment="1" applyProtection="1">
      <alignment horizontal="center" vertical="center"/>
    </xf>
    <xf numFmtId="43" fontId="2" fillId="0" borderId="36" xfId="2" applyFont="1" applyFill="1" applyBorder="1" applyAlignment="1" applyProtection="1">
      <alignment horizontal="center" vertical="center"/>
    </xf>
    <xf numFmtId="43" fontId="2" fillId="0" borderId="34" xfId="2" applyFont="1" applyFill="1" applyBorder="1" applyAlignment="1" applyProtection="1">
      <alignment horizontal="center" vertical="center"/>
    </xf>
    <xf numFmtId="43" fontId="2" fillId="0" borderId="39" xfId="2" applyFont="1" applyFill="1" applyBorder="1" applyAlignment="1" applyProtection="1">
      <alignment horizontal="center" vertical="center"/>
    </xf>
    <xf numFmtId="43" fontId="2" fillId="0" borderId="35" xfId="2" applyFont="1" applyFill="1" applyBorder="1" applyAlignment="1" applyProtection="1">
      <alignment horizontal="center" vertical="center"/>
    </xf>
    <xf numFmtId="0" fontId="2" fillId="0" borderId="0" xfId="63" applyBorder="1" applyProtection="1"/>
    <xf numFmtId="0" fontId="2" fillId="0" borderId="0" xfId="63" applyFont="1" applyBorder="1" applyProtection="1"/>
    <xf numFmtId="0" fontId="2" fillId="0" borderId="0" xfId="63" applyBorder="1" applyAlignment="1" applyProtection="1">
      <alignment horizontal="center"/>
    </xf>
    <xf numFmtId="0" fontId="2" fillId="0" borderId="0" xfId="63" applyBorder="1" applyAlignment="1" applyProtection="1">
      <alignment horizontal="center" vertical="center"/>
    </xf>
    <xf numFmtId="0" fontId="38" fillId="21" borderId="0" xfId="65" applyFont="1" applyFill="1" applyBorder="1" applyAlignment="1" applyProtection="1"/>
    <xf numFmtId="0" fontId="31" fillId="21" borderId="0" xfId="66" applyFont="1" applyFill="1" applyBorder="1" applyAlignment="1" applyProtection="1"/>
    <xf numFmtId="0" fontId="31" fillId="21" borderId="0" xfId="66" applyFont="1" applyFill="1" applyBorder="1" applyAlignment="1" applyProtection="1">
      <alignment horizontal="center"/>
    </xf>
    <xf numFmtId="0" fontId="31" fillId="21" borderId="0" xfId="66" applyFont="1" applyFill="1" applyBorder="1" applyAlignment="1" applyProtection="1">
      <alignment horizontal="center" vertical="center"/>
    </xf>
    <xf numFmtId="0" fontId="2" fillId="21" borderId="0" xfId="66" applyFill="1" applyBorder="1" applyAlignment="1" applyProtection="1">
      <alignment horizontal="center" vertical="center"/>
    </xf>
    <xf numFmtId="0" fontId="39" fillId="21" borderId="0" xfId="66" applyFont="1" applyFill="1" applyBorder="1" applyAlignment="1" applyProtection="1">
      <alignment horizontal="center" vertical="center"/>
    </xf>
    <xf numFmtId="0" fontId="2" fillId="21" borderId="0" xfId="66" applyFill="1" applyBorder="1" applyAlignment="1" applyProtection="1"/>
    <xf numFmtId="0" fontId="37" fillId="21" borderId="0" xfId="65" applyFill="1" applyBorder="1" applyProtection="1"/>
    <xf numFmtId="0" fontId="40" fillId="21" borderId="0" xfId="66" applyFont="1" applyFill="1" applyBorder="1" applyAlignment="1" applyProtection="1">
      <alignment horizontal="left"/>
    </xf>
    <xf numFmtId="0" fontId="2" fillId="21" borderId="0" xfId="66" applyFill="1" applyBorder="1" applyAlignment="1" applyProtection="1">
      <alignment horizontal="center"/>
    </xf>
    <xf numFmtId="0" fontId="40" fillId="21" borderId="31" xfId="66" applyFont="1" applyFill="1" applyBorder="1" applyAlignment="1" applyProtection="1">
      <alignment horizontal="left"/>
    </xf>
    <xf numFmtId="0" fontId="2" fillId="21" borderId="31" xfId="66" applyFill="1" applyBorder="1" applyAlignment="1" applyProtection="1"/>
    <xf numFmtId="0" fontId="2" fillId="21" borderId="31" xfId="66" applyFill="1" applyBorder="1" applyAlignment="1" applyProtection="1">
      <alignment horizontal="center"/>
    </xf>
    <xf numFmtId="0" fontId="2" fillId="21" borderId="31" xfId="66" applyFill="1" applyBorder="1" applyAlignment="1" applyProtection="1">
      <alignment horizontal="center" vertical="center"/>
    </xf>
    <xf numFmtId="0" fontId="37" fillId="21" borderId="31" xfId="65" applyFill="1" applyBorder="1" applyProtection="1"/>
    <xf numFmtId="0" fontId="2" fillId="0" borderId="0" xfId="66" applyProtection="1"/>
    <xf numFmtId="0" fontId="2" fillId="0" borderId="0" xfId="66" applyAlignment="1" applyProtection="1">
      <alignment horizontal="center"/>
    </xf>
    <xf numFmtId="0" fontId="2" fillId="0" borderId="0" xfId="66" applyAlignment="1" applyProtection="1">
      <alignment horizontal="center" vertical="center"/>
    </xf>
    <xf numFmtId="0" fontId="37" fillId="0" borderId="0" xfId="65" applyProtection="1"/>
    <xf numFmtId="0" fontId="30" fillId="0" borderId="0" xfId="66" applyFont="1" applyProtection="1"/>
    <xf numFmtId="0" fontId="30" fillId="0" borderId="41" xfId="66" applyFont="1" applyBorder="1" applyProtection="1"/>
    <xf numFmtId="0" fontId="30" fillId="0" borderId="52" xfId="66" applyFont="1" applyBorder="1" applyAlignment="1" applyProtection="1">
      <alignment horizontal="centerContinuous" vertical="center"/>
    </xf>
    <xf numFmtId="0" fontId="30" fillId="0" borderId="53" xfId="66" applyFont="1" applyBorder="1" applyAlignment="1" applyProtection="1">
      <alignment horizontal="centerContinuous" vertical="center"/>
    </xf>
    <xf numFmtId="0" fontId="2" fillId="0" borderId="54" xfId="66" applyBorder="1" applyAlignment="1" applyProtection="1">
      <alignment horizontal="centerContinuous" vertical="center"/>
    </xf>
    <xf numFmtId="0" fontId="2" fillId="0" borderId="53" xfId="66" applyBorder="1" applyAlignment="1" applyProtection="1">
      <alignment horizontal="centerContinuous" vertical="center"/>
    </xf>
    <xf numFmtId="0" fontId="30" fillId="0" borderId="55" xfId="66" applyFont="1" applyBorder="1" applyAlignment="1" applyProtection="1">
      <alignment horizontal="centerContinuous" vertical="center"/>
    </xf>
    <xf numFmtId="0" fontId="30" fillId="0" borderId="56" xfId="66" applyFont="1" applyBorder="1" applyAlignment="1" applyProtection="1">
      <alignment horizontal="centerContinuous" vertical="center"/>
    </xf>
    <xf numFmtId="0" fontId="30" fillId="0" borderId="57" xfId="66" applyFont="1" applyBorder="1" applyAlignment="1" applyProtection="1">
      <alignment horizontal="centerContinuous" vertical="center"/>
    </xf>
    <xf numFmtId="0" fontId="2" fillId="0" borderId="58" xfId="66" applyBorder="1" applyProtection="1"/>
    <xf numFmtId="0" fontId="30" fillId="0" borderId="58" xfId="66" applyFont="1" applyBorder="1" applyAlignment="1" applyProtection="1">
      <alignment horizontal="center" vertical="center" wrapText="1"/>
    </xf>
    <xf numFmtId="0" fontId="30" fillId="0" borderId="60" xfId="66" applyFont="1" applyBorder="1" applyAlignment="1" applyProtection="1">
      <alignment horizontal="center" vertical="center" wrapText="1"/>
    </xf>
    <xf numFmtId="0" fontId="30" fillId="0" borderId="59" xfId="66" applyFont="1" applyBorder="1" applyAlignment="1" applyProtection="1">
      <alignment horizontal="center" vertical="center" wrapText="1"/>
    </xf>
    <xf numFmtId="0" fontId="30" fillId="0" borderId="20" xfId="66" applyFont="1" applyBorder="1" applyAlignment="1" applyProtection="1">
      <alignment horizontal="center" vertical="center" wrapText="1"/>
    </xf>
    <xf numFmtId="0" fontId="30" fillId="0" borderId="46" xfId="66" applyFont="1" applyBorder="1" applyAlignment="1" applyProtection="1">
      <alignment horizontal="center" vertical="center" wrapText="1"/>
    </xf>
    <xf numFmtId="0" fontId="30" fillId="0" borderId="47" xfId="66" applyFont="1" applyBorder="1" applyAlignment="1" applyProtection="1">
      <alignment horizontal="center" vertical="center" wrapText="1"/>
    </xf>
    <xf numFmtId="0" fontId="30" fillId="0" borderId="61" xfId="66" applyFont="1" applyBorder="1" applyAlignment="1" applyProtection="1">
      <alignment horizontal="center" vertical="center" wrapText="1"/>
    </xf>
    <xf numFmtId="0" fontId="2" fillId="0" borderId="27" xfId="66" applyBorder="1" applyProtection="1"/>
    <xf numFmtId="0" fontId="2" fillId="0" borderId="62" xfId="66" applyNumberFormat="1" applyFont="1" applyBorder="1" applyAlignment="1" applyProtection="1">
      <alignment horizontal="center" wrapText="1"/>
    </xf>
    <xf numFmtId="170" fontId="2" fillId="22" borderId="20" xfId="66" applyNumberFormat="1" applyFont="1" applyFill="1" applyBorder="1" applyAlignment="1" applyProtection="1">
      <alignment horizontal="center" vertical="center"/>
    </xf>
    <xf numFmtId="170" fontId="2" fillId="22" borderId="59" xfId="66" applyNumberFormat="1" applyFont="1" applyFill="1" applyBorder="1" applyAlignment="1" applyProtection="1">
      <alignment horizontal="center" vertical="center"/>
    </xf>
    <xf numFmtId="170" fontId="2" fillId="22" borderId="60" xfId="66" applyNumberFormat="1" applyFont="1" applyFill="1" applyBorder="1" applyAlignment="1" applyProtection="1">
      <alignment horizontal="center" vertical="center"/>
    </xf>
    <xf numFmtId="170" fontId="2" fillId="18" borderId="46" xfId="66" applyNumberFormat="1" applyFill="1" applyBorder="1" applyAlignment="1" applyProtection="1">
      <alignment horizontal="center" vertical="center"/>
    </xf>
    <xf numFmtId="170" fontId="2" fillId="18" borderId="47" xfId="66" applyNumberFormat="1" applyFill="1" applyBorder="1" applyAlignment="1" applyProtection="1">
      <alignment horizontal="center" vertical="center"/>
    </xf>
    <xf numFmtId="170" fontId="2" fillId="18" borderId="61" xfId="66" applyNumberFormat="1" applyFill="1" applyBorder="1" applyAlignment="1" applyProtection="1">
      <alignment horizontal="center" vertical="center"/>
    </xf>
    <xf numFmtId="164" fontId="2" fillId="18" borderId="61" xfId="1" applyNumberFormat="1" applyFont="1" applyFill="1" applyBorder="1" applyAlignment="1" applyProtection="1">
      <alignment horizontal="center" vertical="center"/>
    </xf>
    <xf numFmtId="170" fontId="2" fillId="22" borderId="58" xfId="66" applyNumberFormat="1" applyFont="1" applyFill="1" applyBorder="1" applyAlignment="1" applyProtection="1">
      <alignment horizontal="center" vertical="center"/>
    </xf>
    <xf numFmtId="0" fontId="2" fillId="0" borderId="27" xfId="66" applyFill="1" applyBorder="1" applyProtection="1"/>
    <xf numFmtId="170" fontId="30" fillId="18" borderId="46" xfId="66" applyNumberFormat="1" applyFont="1" applyFill="1" applyBorder="1" applyAlignment="1" applyProtection="1">
      <alignment horizontal="center" vertical="center"/>
    </xf>
    <xf numFmtId="170" fontId="30" fillId="18" borderId="47" xfId="66" applyNumberFormat="1" applyFont="1" applyFill="1" applyBorder="1" applyAlignment="1" applyProtection="1">
      <alignment horizontal="center" vertical="center"/>
    </xf>
    <xf numFmtId="170" fontId="30" fillId="18" borderId="61" xfId="66" applyNumberFormat="1" applyFont="1" applyFill="1" applyBorder="1" applyAlignment="1" applyProtection="1">
      <alignment horizontal="center" vertical="center"/>
    </xf>
    <xf numFmtId="170" fontId="30" fillId="18" borderId="12" xfId="66" applyNumberFormat="1" applyFont="1" applyFill="1" applyBorder="1" applyAlignment="1" applyProtection="1">
      <alignment horizontal="center" vertical="center"/>
    </xf>
    <xf numFmtId="170" fontId="35" fillId="19" borderId="46" xfId="66" applyNumberFormat="1" applyFont="1" applyFill="1" applyBorder="1" applyAlignment="1" applyProtection="1">
      <alignment horizontal="center" vertical="center"/>
      <protection locked="0"/>
    </xf>
    <xf numFmtId="170" fontId="30" fillId="18" borderId="68" xfId="66" applyNumberFormat="1" applyFont="1" applyFill="1" applyBorder="1" applyAlignment="1" applyProtection="1">
      <alignment horizontal="center" vertical="center"/>
    </xf>
    <xf numFmtId="170" fontId="30" fillId="18" borderId="15" xfId="66" applyNumberFormat="1" applyFont="1" applyFill="1" applyBorder="1" applyAlignment="1" applyProtection="1">
      <alignment horizontal="center" vertical="center"/>
    </xf>
    <xf numFmtId="170" fontId="30" fillId="18" borderId="69" xfId="66" applyNumberFormat="1" applyFont="1" applyFill="1" applyBorder="1" applyAlignment="1" applyProtection="1">
      <alignment horizontal="center" vertical="center"/>
    </xf>
    <xf numFmtId="170" fontId="30" fillId="18" borderId="70" xfId="66" applyNumberFormat="1" applyFont="1" applyFill="1" applyBorder="1" applyAlignment="1" applyProtection="1">
      <alignment horizontal="center" vertical="center"/>
    </xf>
    <xf numFmtId="0" fontId="2" fillId="0" borderId="30" xfId="66" applyBorder="1" applyProtection="1"/>
    <xf numFmtId="0" fontId="2" fillId="0" borderId="63" xfId="66" applyNumberFormat="1" applyFont="1" applyBorder="1" applyAlignment="1" applyProtection="1">
      <alignment horizontal="center" wrapText="1"/>
    </xf>
    <xf numFmtId="170" fontId="2" fillId="0" borderId="36" xfId="66" applyNumberFormat="1" applyFont="1" applyFill="1" applyBorder="1" applyAlignment="1" applyProtection="1">
      <alignment horizontal="center" vertical="center"/>
    </xf>
    <xf numFmtId="170" fontId="2" fillId="0" borderId="34" xfId="66" applyNumberFormat="1" applyFont="1" applyFill="1" applyBorder="1" applyAlignment="1" applyProtection="1">
      <alignment horizontal="center" vertical="center"/>
    </xf>
    <xf numFmtId="170" fontId="2" fillId="0" borderId="39" xfId="66" applyNumberFormat="1" applyFont="1" applyFill="1" applyBorder="1" applyAlignment="1" applyProtection="1">
      <alignment horizontal="center" vertical="center"/>
    </xf>
    <xf numFmtId="170" fontId="2" fillId="0" borderId="35" xfId="66" applyNumberFormat="1" applyFont="1" applyFill="1" applyBorder="1" applyAlignment="1" applyProtection="1">
      <alignment horizontal="center" vertical="center"/>
    </xf>
    <xf numFmtId="170" fontId="2" fillId="20" borderId="46" xfId="66" applyNumberFormat="1" applyFill="1" applyBorder="1" applyAlignment="1" applyProtection="1">
      <alignment horizontal="center" vertical="center"/>
    </xf>
    <xf numFmtId="170" fontId="2" fillId="20" borderId="47" xfId="66" applyNumberFormat="1" applyFill="1" applyBorder="1" applyAlignment="1" applyProtection="1">
      <alignment horizontal="center" vertical="center"/>
    </xf>
    <xf numFmtId="170" fontId="2" fillId="20" borderId="61" xfId="66" applyNumberFormat="1" applyFill="1" applyBorder="1" applyAlignment="1" applyProtection="1">
      <alignment horizontal="center" vertical="center"/>
    </xf>
    <xf numFmtId="164" fontId="2" fillId="20" borderId="61" xfId="1" applyNumberFormat="1" applyFont="1" applyFill="1" applyBorder="1" applyAlignment="1" applyProtection="1">
      <alignment horizontal="center" vertical="center"/>
    </xf>
    <xf numFmtId="170" fontId="35" fillId="19" borderId="12" xfId="66" applyNumberFormat="1" applyFont="1" applyFill="1" applyBorder="1" applyAlignment="1" applyProtection="1">
      <alignment horizontal="center" vertical="center"/>
      <protection locked="0"/>
    </xf>
    <xf numFmtId="170" fontId="35" fillId="19" borderId="61" xfId="66" applyNumberFormat="1" applyFont="1" applyFill="1" applyBorder="1" applyAlignment="1" applyProtection="1">
      <alignment horizontal="center" vertical="center"/>
      <protection locked="0"/>
    </xf>
    <xf numFmtId="170" fontId="35" fillId="19" borderId="47" xfId="66" applyNumberFormat="1" applyFont="1" applyFill="1" applyBorder="1" applyAlignment="1" applyProtection="1">
      <alignment horizontal="center" vertical="center"/>
      <protection locked="0"/>
    </xf>
    <xf numFmtId="170" fontId="30" fillId="18" borderId="36" xfId="66" applyNumberFormat="1" applyFont="1" applyFill="1" applyBorder="1" applyAlignment="1" applyProtection="1">
      <alignment horizontal="center" vertical="center"/>
    </xf>
    <xf numFmtId="170" fontId="30" fillId="18" borderId="34" xfId="66" applyNumberFormat="1" applyFont="1" applyFill="1" applyBorder="1" applyAlignment="1" applyProtection="1">
      <alignment horizontal="center" vertical="center"/>
    </xf>
    <xf numFmtId="170" fontId="30" fillId="18" borderId="39" xfId="66" applyNumberFormat="1" applyFont="1" applyFill="1" applyBorder="1" applyAlignment="1" applyProtection="1">
      <alignment horizontal="center" vertical="center"/>
    </xf>
    <xf numFmtId="170" fontId="30" fillId="18" borderId="35" xfId="66" applyNumberFormat="1" applyFont="1" applyFill="1" applyBorder="1" applyAlignment="1" applyProtection="1">
      <alignment horizontal="center" vertical="center"/>
    </xf>
    <xf numFmtId="170" fontId="2" fillId="18" borderId="36" xfId="66" applyNumberFormat="1" applyFill="1" applyBorder="1" applyAlignment="1" applyProtection="1">
      <alignment horizontal="center" vertical="center"/>
    </xf>
    <xf numFmtId="170" fontId="2" fillId="18" borderId="35" xfId="66" applyNumberFormat="1" applyFill="1" applyBorder="1" applyAlignment="1" applyProtection="1">
      <alignment horizontal="center" vertical="center"/>
    </xf>
    <xf numFmtId="170" fontId="2" fillId="18" borderId="39" xfId="66" applyNumberFormat="1" applyFill="1" applyBorder="1" applyAlignment="1" applyProtection="1">
      <alignment horizontal="center" vertical="center"/>
    </xf>
    <xf numFmtId="164" fontId="2" fillId="18" borderId="39" xfId="1" applyNumberFormat="1" applyFont="1" applyFill="1" applyBorder="1" applyAlignment="1" applyProtection="1">
      <alignment horizontal="center" vertical="center"/>
    </xf>
    <xf numFmtId="0" fontId="30" fillId="0" borderId="0" xfId="66" applyFont="1" applyFill="1" applyProtection="1"/>
    <xf numFmtId="0" fontId="2" fillId="0" borderId="0" xfId="66" applyNumberFormat="1" applyFont="1" applyAlignment="1" applyProtection="1">
      <alignment horizontal="center" wrapText="1"/>
    </xf>
    <xf numFmtId="0" fontId="2" fillId="0" borderId="0" xfId="66" applyFill="1" applyAlignment="1" applyProtection="1">
      <alignment horizontal="center" vertical="center"/>
    </xf>
    <xf numFmtId="0" fontId="30" fillId="0" borderId="27" xfId="66" applyFont="1" applyFill="1" applyBorder="1" applyAlignment="1" applyProtection="1">
      <alignment horizontal="left" indent="1"/>
    </xf>
    <xf numFmtId="0" fontId="2" fillId="0" borderId="16" xfId="66" applyFill="1" applyBorder="1" applyAlignment="1" applyProtection="1">
      <alignment horizontal="center"/>
    </xf>
    <xf numFmtId="0" fontId="2" fillId="0" borderId="64" xfId="66" applyFill="1" applyBorder="1" applyAlignment="1" applyProtection="1">
      <alignment horizontal="center" vertical="center"/>
    </xf>
    <xf numFmtId="0" fontId="2" fillId="0" borderId="19" xfId="66" applyFill="1" applyBorder="1" applyAlignment="1" applyProtection="1">
      <alignment horizontal="center" vertical="center"/>
    </xf>
    <xf numFmtId="0" fontId="2" fillId="0" borderId="65" xfId="66" applyFill="1" applyBorder="1" applyAlignment="1" applyProtection="1">
      <alignment horizontal="center" vertical="center"/>
    </xf>
    <xf numFmtId="0" fontId="2" fillId="0" borderId="64" xfId="66" applyBorder="1" applyAlignment="1" applyProtection="1">
      <alignment horizontal="center" vertical="center"/>
    </xf>
    <xf numFmtId="0" fontId="2" fillId="0" borderId="19" xfId="66" applyBorder="1" applyAlignment="1" applyProtection="1">
      <alignment horizontal="center" vertical="center"/>
    </xf>
    <xf numFmtId="0" fontId="2" fillId="0" borderId="65" xfId="66" applyBorder="1" applyAlignment="1" applyProtection="1">
      <alignment horizontal="center" vertical="center"/>
    </xf>
    <xf numFmtId="0" fontId="2" fillId="0" borderId="27" xfId="66" applyFill="1" applyBorder="1" applyAlignment="1" applyProtection="1">
      <alignment horizontal="left" wrapText="1" indent="2"/>
    </xf>
    <xf numFmtId="0" fontId="2" fillId="0" borderId="16" xfId="66" applyNumberFormat="1" applyFont="1" applyBorder="1" applyAlignment="1" applyProtection="1">
      <alignment horizontal="center" wrapText="1"/>
    </xf>
    <xf numFmtId="170" fontId="2" fillId="20" borderId="46" xfId="66" applyNumberFormat="1" applyFont="1" applyFill="1" applyBorder="1" applyAlignment="1" applyProtection="1">
      <alignment horizontal="center" vertical="center"/>
      <protection locked="0"/>
    </xf>
    <xf numFmtId="170" fontId="2" fillId="20" borderId="12" xfId="66" applyNumberFormat="1" applyFont="1" applyFill="1" applyBorder="1" applyAlignment="1" applyProtection="1">
      <alignment horizontal="center" vertical="center"/>
      <protection locked="0"/>
    </xf>
    <xf numFmtId="170" fontId="2" fillId="20" borderId="61" xfId="66" applyNumberFormat="1" applyFont="1" applyFill="1" applyBorder="1" applyAlignment="1" applyProtection="1">
      <alignment horizontal="center" vertical="center"/>
      <protection locked="0"/>
    </xf>
    <xf numFmtId="170" fontId="2" fillId="22" borderId="12" xfId="66" applyNumberFormat="1" applyFont="1" applyFill="1" applyBorder="1" applyAlignment="1" applyProtection="1">
      <alignment horizontal="center" vertical="center"/>
      <protection locked="0"/>
    </xf>
    <xf numFmtId="170" fontId="2" fillId="22" borderId="47" xfId="66" applyNumberFormat="1" applyFont="1" applyFill="1" applyBorder="1" applyAlignment="1" applyProtection="1">
      <alignment horizontal="center" vertical="center"/>
      <protection locked="0"/>
    </xf>
    <xf numFmtId="170" fontId="2" fillId="22" borderId="61" xfId="66" applyNumberFormat="1" applyFont="1" applyFill="1" applyBorder="1" applyAlignment="1" applyProtection="1">
      <alignment horizontal="center" vertical="center"/>
      <protection locked="0"/>
    </xf>
    <xf numFmtId="0" fontId="30" fillId="0" borderId="27" xfId="66" applyFont="1" applyFill="1" applyBorder="1" applyAlignment="1" applyProtection="1">
      <alignment horizontal="left" wrapText="1" indent="2"/>
    </xf>
    <xf numFmtId="170" fontId="2" fillId="18" borderId="12" xfId="66" applyNumberFormat="1" applyFill="1" applyBorder="1" applyAlignment="1" applyProtection="1">
      <alignment horizontal="center" vertical="center"/>
    </xf>
    <xf numFmtId="0" fontId="2" fillId="0" borderId="16" xfId="66" applyNumberFormat="1" applyBorder="1" applyAlignment="1" applyProtection="1">
      <alignment horizontal="center"/>
    </xf>
    <xf numFmtId="0" fontId="2" fillId="0" borderId="71" xfId="66" applyBorder="1" applyAlignment="1" applyProtection="1">
      <alignment horizontal="center" vertical="center"/>
    </xf>
    <xf numFmtId="0" fontId="2" fillId="0" borderId="11" xfId="66" applyBorder="1" applyAlignment="1" applyProtection="1">
      <alignment horizontal="center" vertical="center"/>
    </xf>
    <xf numFmtId="0" fontId="2" fillId="0" borderId="40" xfId="66" applyBorder="1" applyAlignment="1" applyProtection="1">
      <alignment horizontal="center" vertical="center"/>
    </xf>
    <xf numFmtId="0" fontId="2" fillId="0" borderId="71" xfId="66" applyFill="1" applyBorder="1" applyAlignment="1" applyProtection="1">
      <alignment horizontal="center" vertical="center"/>
    </xf>
    <xf numFmtId="0" fontId="30" fillId="0" borderId="30" xfId="66" applyFont="1" applyBorder="1" applyAlignment="1" applyProtection="1">
      <alignment horizontal="left" wrapText="1" indent="2"/>
    </xf>
    <xf numFmtId="0" fontId="2" fillId="0" borderId="50" xfId="66" applyNumberFormat="1" applyFont="1" applyBorder="1" applyAlignment="1" applyProtection="1">
      <alignment horizontal="center" wrapText="1"/>
    </xf>
    <xf numFmtId="170" fontId="2" fillId="18" borderId="34" xfId="66" applyNumberFormat="1" applyFill="1" applyBorder="1" applyAlignment="1" applyProtection="1">
      <alignment horizontal="center" vertical="center"/>
    </xf>
    <xf numFmtId="0" fontId="30" fillId="0" borderId="44" xfId="66" applyFont="1" applyBorder="1" applyProtection="1"/>
    <xf numFmtId="0" fontId="30" fillId="0" borderId="16" xfId="66" applyFont="1" applyBorder="1" applyAlignment="1" applyProtection="1">
      <alignment horizontal="center"/>
    </xf>
    <xf numFmtId="0" fontId="30" fillId="0" borderId="66" xfId="66" applyFont="1" applyBorder="1" applyAlignment="1" applyProtection="1">
      <alignment horizontal="center" vertical="center"/>
    </xf>
    <xf numFmtId="0" fontId="30" fillId="0" borderId="14" xfId="66" applyFont="1" applyBorder="1" applyAlignment="1" applyProtection="1">
      <alignment horizontal="center" vertical="center"/>
    </xf>
    <xf numFmtId="0" fontId="30" fillId="0" borderId="67" xfId="66" applyFont="1" applyBorder="1" applyAlignment="1" applyProtection="1">
      <alignment horizontal="center" vertical="center"/>
    </xf>
    <xf numFmtId="0" fontId="2" fillId="0" borderId="66" xfId="66" applyBorder="1" applyAlignment="1" applyProtection="1">
      <alignment horizontal="center" vertical="center"/>
    </xf>
    <xf numFmtId="0" fontId="2" fillId="0" borderId="14" xfId="66" applyBorder="1" applyAlignment="1" applyProtection="1">
      <alignment horizontal="center" vertical="center"/>
    </xf>
    <xf numFmtId="0" fontId="2" fillId="0" borderId="67" xfId="66" applyBorder="1" applyAlignment="1" applyProtection="1">
      <alignment horizontal="center" vertical="center"/>
    </xf>
    <xf numFmtId="0" fontId="37" fillId="0" borderId="0" xfId="65" applyBorder="1" applyProtection="1"/>
    <xf numFmtId="0" fontId="30" fillId="0" borderId="44" xfId="66" applyFont="1" applyBorder="1" applyAlignment="1" applyProtection="1">
      <alignment horizontal="left" indent="1"/>
    </xf>
    <xf numFmtId="0" fontId="30" fillId="0" borderId="27" xfId="66" applyFont="1" applyBorder="1" applyAlignment="1" applyProtection="1">
      <alignment horizontal="center" vertical="center"/>
    </xf>
    <xf numFmtId="0" fontId="30" fillId="0" borderId="0" xfId="66" applyFont="1" applyBorder="1" applyAlignment="1" applyProtection="1">
      <alignment horizontal="center" vertical="center"/>
    </xf>
    <xf numFmtId="0" fontId="30" fillId="0" borderId="28" xfId="66" applyFont="1" applyBorder="1" applyAlignment="1" applyProtection="1">
      <alignment horizontal="center" vertical="center"/>
    </xf>
    <xf numFmtId="0" fontId="2" fillId="0" borderId="27" xfId="66" applyBorder="1" applyAlignment="1" applyProtection="1">
      <alignment horizontal="center" vertical="center"/>
    </xf>
    <xf numFmtId="0" fontId="2" fillId="0" borderId="0" xfId="66" applyBorder="1" applyAlignment="1" applyProtection="1">
      <alignment horizontal="center" vertical="center"/>
    </xf>
    <xf numFmtId="0" fontId="2" fillId="0" borderId="28" xfId="66" applyBorder="1" applyAlignment="1" applyProtection="1">
      <alignment horizontal="center" vertical="center"/>
    </xf>
    <xf numFmtId="0" fontId="2" fillId="0" borderId="44" xfId="66" applyFont="1" applyBorder="1" applyAlignment="1" applyProtection="1">
      <alignment horizontal="left" indent="2"/>
    </xf>
    <xf numFmtId="1" fontId="2" fillId="18" borderId="46" xfId="66" applyNumberFormat="1" applyFont="1" applyFill="1" applyBorder="1" applyAlignment="1" applyProtection="1">
      <alignment horizontal="center" vertical="center"/>
      <protection locked="0"/>
    </xf>
    <xf numFmtId="1" fontId="2" fillId="18" borderId="12" xfId="66" applyNumberFormat="1" applyFont="1" applyFill="1" applyBorder="1" applyAlignment="1" applyProtection="1">
      <alignment horizontal="center" vertical="center"/>
      <protection locked="0"/>
    </xf>
    <xf numFmtId="1" fontId="2" fillId="18" borderId="61" xfId="66" applyNumberFormat="1" applyFont="1" applyFill="1" applyBorder="1" applyAlignment="1" applyProtection="1">
      <alignment horizontal="center" vertical="center"/>
      <protection locked="0"/>
    </xf>
    <xf numFmtId="1" fontId="2" fillId="18" borderId="47" xfId="66" applyNumberFormat="1" applyFont="1" applyFill="1" applyBorder="1" applyAlignment="1" applyProtection="1">
      <alignment horizontal="center" vertical="center"/>
      <protection locked="0"/>
    </xf>
    <xf numFmtId="0" fontId="2" fillId="0" borderId="27" xfId="66" applyFont="1" applyBorder="1" applyAlignment="1" applyProtection="1">
      <alignment horizontal="left" indent="2"/>
    </xf>
    <xf numFmtId="1" fontId="35" fillId="20" borderId="46" xfId="66" applyNumberFormat="1" applyFont="1" applyFill="1" applyBorder="1" applyAlignment="1" applyProtection="1">
      <alignment horizontal="center" vertical="center"/>
      <protection locked="0"/>
    </xf>
    <xf numFmtId="1" fontId="35" fillId="20" borderId="12" xfId="66" applyNumberFormat="1" applyFont="1" applyFill="1" applyBorder="1" applyAlignment="1" applyProtection="1">
      <alignment horizontal="center" vertical="center"/>
      <protection locked="0"/>
    </xf>
    <xf numFmtId="1" fontId="35" fillId="20" borderId="61" xfId="66" applyNumberFormat="1" applyFont="1" applyFill="1" applyBorder="1" applyAlignment="1" applyProtection="1">
      <alignment horizontal="center" vertical="center"/>
      <protection locked="0"/>
    </xf>
    <xf numFmtId="0" fontId="30" fillId="0" borderId="44" xfId="66" applyFont="1" applyFill="1" applyBorder="1" applyAlignment="1" applyProtection="1">
      <alignment horizontal="left" indent="1"/>
    </xf>
    <xf numFmtId="1" fontId="30" fillId="0" borderId="27" xfId="66" applyNumberFormat="1" applyFont="1" applyBorder="1" applyAlignment="1" applyProtection="1">
      <alignment horizontal="center" vertical="center"/>
    </xf>
    <xf numFmtId="1" fontId="30" fillId="0" borderId="0" xfId="66" applyNumberFormat="1" applyFont="1" applyBorder="1" applyAlignment="1" applyProtection="1">
      <alignment horizontal="center" vertical="center"/>
    </xf>
    <xf numFmtId="1" fontId="30" fillId="0" borderId="28" xfId="66" applyNumberFormat="1" applyFont="1" applyBorder="1" applyAlignment="1" applyProtection="1">
      <alignment horizontal="center" vertical="center"/>
    </xf>
    <xf numFmtId="1" fontId="2" fillId="0" borderId="27" xfId="66" applyNumberFormat="1" applyBorder="1" applyAlignment="1" applyProtection="1">
      <alignment horizontal="center" vertical="center"/>
    </xf>
    <xf numFmtId="1" fontId="2" fillId="0" borderId="0" xfId="66" applyNumberFormat="1" applyBorder="1" applyAlignment="1" applyProtection="1">
      <alignment horizontal="center" vertical="center"/>
    </xf>
    <xf numFmtId="1" fontId="2" fillId="0" borderId="28" xfId="66" applyNumberFormat="1" applyBorder="1" applyAlignment="1" applyProtection="1">
      <alignment horizontal="center" vertical="center"/>
    </xf>
    <xf numFmtId="0" fontId="2" fillId="0" borderId="44" xfId="66" applyFont="1" applyFill="1" applyBorder="1" applyAlignment="1" applyProtection="1">
      <alignment horizontal="left" indent="2"/>
    </xf>
    <xf numFmtId="0" fontId="2" fillId="0" borderId="27" xfId="66" applyFont="1" applyFill="1" applyBorder="1" applyAlignment="1" applyProtection="1">
      <alignment horizontal="left" indent="2"/>
    </xf>
    <xf numFmtId="1" fontId="2" fillId="20" borderId="46" xfId="66" applyNumberFormat="1" applyFont="1" applyFill="1" applyBorder="1" applyAlignment="1" applyProtection="1">
      <alignment horizontal="center" vertical="center"/>
      <protection locked="0"/>
    </xf>
    <xf numFmtId="1" fontId="2" fillId="20" borderId="12" xfId="66" applyNumberFormat="1" applyFont="1" applyFill="1" applyBorder="1" applyAlignment="1" applyProtection="1">
      <alignment horizontal="center" vertical="center"/>
      <protection locked="0"/>
    </xf>
    <xf numFmtId="1" fontId="2" fillId="20" borderId="61" xfId="66" applyNumberFormat="1" applyFont="1" applyFill="1" applyBorder="1" applyAlignment="1" applyProtection="1">
      <alignment horizontal="center" vertical="center"/>
      <protection locked="0"/>
    </xf>
    <xf numFmtId="1" fontId="2" fillId="0" borderId="27" xfId="66" applyNumberFormat="1" applyFont="1" applyBorder="1" applyAlignment="1" applyProtection="1">
      <alignment horizontal="center" vertical="center"/>
    </xf>
    <xf numFmtId="1" fontId="2" fillId="0" borderId="0" xfId="66" applyNumberFormat="1" applyFont="1" applyBorder="1" applyAlignment="1" applyProtection="1">
      <alignment horizontal="center" vertical="center"/>
    </xf>
    <xf numFmtId="1" fontId="2" fillId="0" borderId="28" xfId="66" applyNumberFormat="1" applyFont="1" applyBorder="1" applyAlignment="1" applyProtection="1">
      <alignment horizontal="center" vertical="center"/>
    </xf>
    <xf numFmtId="1" fontId="2" fillId="18" borderId="68" xfId="66" applyNumberFormat="1" applyFont="1" applyFill="1" applyBorder="1" applyAlignment="1" applyProtection="1">
      <alignment horizontal="center" vertical="center"/>
      <protection locked="0"/>
    </xf>
    <xf numFmtId="1" fontId="2" fillId="18" borderId="15" xfId="66" applyNumberFormat="1" applyFont="1" applyFill="1" applyBorder="1" applyAlignment="1" applyProtection="1">
      <alignment horizontal="center" vertical="center"/>
      <protection locked="0"/>
    </xf>
    <xf numFmtId="1" fontId="2" fillId="18" borderId="69" xfId="66" applyNumberFormat="1" applyFont="1" applyFill="1" applyBorder="1" applyAlignment="1" applyProtection="1">
      <alignment horizontal="center" vertical="center"/>
      <protection locked="0"/>
    </xf>
    <xf numFmtId="1" fontId="2" fillId="18" borderId="70" xfId="66" applyNumberFormat="1" applyFont="1" applyFill="1" applyBorder="1" applyAlignment="1" applyProtection="1">
      <alignment horizontal="center" vertical="center"/>
      <protection locked="0"/>
    </xf>
    <xf numFmtId="1" fontId="2" fillId="20" borderId="68" xfId="66" applyNumberFormat="1" applyFont="1" applyFill="1" applyBorder="1" applyAlignment="1" applyProtection="1">
      <alignment horizontal="center" vertical="center"/>
      <protection locked="0"/>
    </xf>
    <xf numFmtId="1" fontId="2" fillId="20" borderId="15" xfId="66" applyNumberFormat="1" applyFont="1" applyFill="1" applyBorder="1" applyAlignment="1" applyProtection="1">
      <alignment horizontal="center" vertical="center"/>
      <protection locked="0"/>
    </xf>
    <xf numFmtId="1" fontId="2" fillId="20" borderId="69" xfId="66" applyNumberFormat="1" applyFont="1" applyFill="1" applyBorder="1" applyAlignment="1" applyProtection="1">
      <alignment horizontal="center" vertical="center"/>
      <protection locked="0"/>
    </xf>
    <xf numFmtId="0" fontId="30" fillId="0" borderId="48" xfId="66" applyFont="1" applyBorder="1" applyAlignment="1" applyProtection="1">
      <alignment horizontal="left" wrapText="1" indent="1"/>
    </xf>
    <xf numFmtId="1" fontId="30" fillId="18" borderId="36" xfId="66" applyNumberFormat="1" applyFont="1" applyFill="1" applyBorder="1" applyAlignment="1" applyProtection="1">
      <alignment horizontal="center" vertical="center"/>
    </xf>
    <xf numFmtId="1" fontId="30" fillId="18" borderId="35" xfId="66" applyNumberFormat="1" applyFont="1" applyFill="1" applyBorder="1" applyAlignment="1" applyProtection="1">
      <alignment horizontal="center" vertical="center"/>
    </xf>
    <xf numFmtId="1" fontId="30" fillId="18" borderId="39" xfId="66" applyNumberFormat="1" applyFont="1" applyFill="1" applyBorder="1" applyAlignment="1" applyProtection="1">
      <alignment horizontal="center" vertical="center"/>
    </xf>
    <xf numFmtId="0" fontId="36" fillId="0" borderId="0" xfId="65" applyFont="1" applyBorder="1" applyProtection="1"/>
    <xf numFmtId="0" fontId="30" fillId="0" borderId="0" xfId="66" applyFont="1" applyBorder="1" applyAlignment="1" applyProtection="1">
      <alignment horizontal="left" wrapText="1" indent="1"/>
    </xf>
    <xf numFmtId="0" fontId="37" fillId="0" borderId="0" xfId="65" applyAlignment="1" applyProtection="1">
      <alignment horizontal="center"/>
    </xf>
    <xf numFmtId="0" fontId="2" fillId="0" borderId="0" xfId="66" applyFill="1" applyProtection="1"/>
    <xf numFmtId="0" fontId="30" fillId="0" borderId="65" xfId="66" applyFont="1" applyBorder="1" applyAlignment="1" applyProtection="1">
      <alignment horizontal="center" vertical="center" wrapText="1"/>
    </xf>
    <xf numFmtId="0" fontId="2" fillId="0" borderId="15" xfId="66" applyBorder="1" applyAlignment="1" applyProtection="1">
      <alignment horizontal="center" vertical="center"/>
    </xf>
    <xf numFmtId="0" fontId="2" fillId="0" borderId="0" xfId="66" applyNumberFormat="1" applyFont="1" applyBorder="1" applyAlignment="1" applyProtection="1">
      <alignment horizontal="center" wrapText="1"/>
    </xf>
    <xf numFmtId="0" fontId="2" fillId="0" borderId="17" xfId="66" applyBorder="1" applyAlignment="1" applyProtection="1">
      <alignment horizontal="center" vertical="center"/>
    </xf>
    <xf numFmtId="1" fontId="35" fillId="19" borderId="46" xfId="66" applyNumberFormat="1" applyFont="1" applyFill="1" applyBorder="1" applyAlignment="1" applyProtection="1">
      <alignment horizontal="center" vertical="center"/>
      <protection locked="0"/>
    </xf>
    <xf numFmtId="1" fontId="35" fillId="19" borderId="12" xfId="66" applyNumberFormat="1" applyFont="1" applyFill="1" applyBorder="1" applyAlignment="1" applyProtection="1">
      <alignment horizontal="center" vertical="center"/>
      <protection locked="0"/>
    </xf>
    <xf numFmtId="1" fontId="35" fillId="19" borderId="61" xfId="66" applyNumberFormat="1" applyFont="1" applyFill="1" applyBorder="1" applyAlignment="1" applyProtection="1">
      <alignment horizontal="center" vertical="center"/>
      <protection locked="0"/>
    </xf>
    <xf numFmtId="1" fontId="35" fillId="19" borderId="47" xfId="66" applyNumberFormat="1" applyFont="1" applyFill="1" applyBorder="1" applyAlignment="1" applyProtection="1">
      <alignment horizontal="center" vertical="center"/>
      <protection locked="0"/>
    </xf>
    <xf numFmtId="1" fontId="35" fillId="19" borderId="40" xfId="66" applyNumberFormat="1" applyFont="1" applyFill="1" applyBorder="1" applyAlignment="1" applyProtection="1">
      <alignment horizontal="center" vertical="center"/>
      <protection locked="0"/>
    </xf>
    <xf numFmtId="1" fontId="2" fillId="22" borderId="46" xfId="66" applyNumberFormat="1" applyFont="1" applyFill="1" applyBorder="1" applyAlignment="1" applyProtection="1">
      <alignment horizontal="center" vertical="center"/>
      <protection locked="0"/>
    </xf>
    <xf numFmtId="1" fontId="2" fillId="22" borderId="47" xfId="66" applyNumberFormat="1" applyFont="1" applyFill="1" applyBorder="1" applyAlignment="1" applyProtection="1">
      <alignment horizontal="center" vertical="center"/>
      <protection locked="0"/>
    </xf>
    <xf numFmtId="1" fontId="2" fillId="22" borderId="40" xfId="66" applyNumberFormat="1" applyFont="1" applyFill="1" applyBorder="1" applyAlignment="1" applyProtection="1">
      <alignment horizontal="center" vertical="center"/>
      <protection locked="0"/>
    </xf>
    <xf numFmtId="1" fontId="2" fillId="0" borderId="17" xfId="66" applyNumberFormat="1" applyBorder="1" applyAlignment="1" applyProtection="1">
      <alignment horizontal="center" vertical="center"/>
    </xf>
    <xf numFmtId="1" fontId="35" fillId="19" borderId="68" xfId="66" applyNumberFormat="1" applyFont="1" applyFill="1" applyBorder="1" applyAlignment="1" applyProtection="1">
      <alignment horizontal="center" vertical="center"/>
      <protection locked="0"/>
    </xf>
    <xf numFmtId="1" fontId="35" fillId="19" borderId="15" xfId="66" applyNumberFormat="1" applyFont="1" applyFill="1" applyBorder="1" applyAlignment="1" applyProtection="1">
      <alignment horizontal="center" vertical="center"/>
      <protection locked="0"/>
    </xf>
    <xf numFmtId="1" fontId="35" fillId="19" borderId="69" xfId="66" applyNumberFormat="1" applyFont="1" applyFill="1" applyBorder="1" applyAlignment="1" applyProtection="1">
      <alignment horizontal="center" vertical="center"/>
      <protection locked="0"/>
    </xf>
    <xf numFmtId="1" fontId="35" fillId="19" borderId="70" xfId="66" applyNumberFormat="1" applyFont="1" applyFill="1" applyBorder="1" applyAlignment="1" applyProtection="1">
      <alignment horizontal="center" vertical="center"/>
      <protection locked="0"/>
    </xf>
    <xf numFmtId="1" fontId="35" fillId="19" borderId="67" xfId="66" applyNumberFormat="1" applyFont="1" applyFill="1" applyBorder="1" applyAlignment="1" applyProtection="1">
      <alignment horizontal="center" vertical="center"/>
      <protection locked="0"/>
    </xf>
    <xf numFmtId="1" fontId="35" fillId="20" borderId="68" xfId="66" applyNumberFormat="1" applyFont="1" applyFill="1" applyBorder="1" applyAlignment="1" applyProtection="1">
      <alignment horizontal="center" vertical="center"/>
      <protection locked="0"/>
    </xf>
    <xf numFmtId="1" fontId="35" fillId="20" borderId="15" xfId="66" applyNumberFormat="1" applyFont="1" applyFill="1" applyBorder="1" applyAlignment="1" applyProtection="1">
      <alignment horizontal="center" vertical="center"/>
      <protection locked="0"/>
    </xf>
    <xf numFmtId="1" fontId="35" fillId="20" borderId="69" xfId="66" applyNumberFormat="1" applyFont="1" applyFill="1" applyBorder="1" applyAlignment="1" applyProtection="1">
      <alignment horizontal="center" vertical="center"/>
      <protection locked="0"/>
    </xf>
    <xf numFmtId="1" fontId="2" fillId="22" borderId="68" xfId="66" applyNumberFormat="1" applyFont="1" applyFill="1" applyBorder="1" applyAlignment="1" applyProtection="1">
      <alignment horizontal="center" vertical="center"/>
      <protection locked="0"/>
    </xf>
    <xf numFmtId="1" fontId="30" fillId="18" borderId="72" xfId="66" applyNumberFormat="1" applyFont="1" applyFill="1" applyBorder="1" applyAlignment="1" applyProtection="1">
      <alignment horizontal="center" vertical="center"/>
    </xf>
    <xf numFmtId="0" fontId="30" fillId="0" borderId="0" xfId="66" applyFont="1" applyAlignment="1" applyProtection="1">
      <alignment horizontal="left" wrapText="1" indent="1"/>
    </xf>
    <xf numFmtId="1" fontId="2" fillId="22" borderId="38" xfId="66" applyNumberFormat="1" applyFont="1" applyFill="1" applyBorder="1" applyAlignment="1" applyProtection="1">
      <alignment horizontal="center" vertical="center"/>
      <protection locked="0"/>
    </xf>
    <xf numFmtId="1" fontId="2" fillId="22" borderId="73" xfId="66" applyNumberFormat="1" applyFont="1" applyFill="1" applyBorder="1" applyAlignment="1" applyProtection="1">
      <alignment horizontal="center" vertical="center"/>
      <protection locked="0"/>
    </xf>
    <xf numFmtId="0" fontId="30" fillId="0" borderId="27" xfId="66" applyFont="1" applyFill="1" applyBorder="1" applyProtection="1"/>
    <xf numFmtId="0" fontId="30" fillId="0" borderId="13" xfId="66" applyFont="1" applyBorder="1" applyAlignment="1" applyProtection="1">
      <alignment horizontal="center"/>
    </xf>
    <xf numFmtId="170" fontId="35" fillId="20" borderId="46" xfId="66" applyNumberFormat="1" applyFont="1" applyFill="1" applyBorder="1" applyAlignment="1" applyProtection="1">
      <alignment horizontal="center" vertical="center"/>
      <protection locked="0"/>
    </xf>
    <xf numFmtId="170" fontId="35" fillId="20" borderId="12" xfId="66" applyNumberFormat="1" applyFont="1" applyFill="1" applyBorder="1" applyAlignment="1" applyProtection="1">
      <alignment horizontal="center" vertical="center"/>
      <protection locked="0"/>
    </xf>
    <xf numFmtId="170" fontId="35" fillId="20" borderId="61" xfId="66" applyNumberFormat="1" applyFont="1" applyFill="1" applyBorder="1" applyAlignment="1" applyProtection="1">
      <alignment horizontal="center" vertical="center"/>
      <protection locked="0"/>
    </xf>
    <xf numFmtId="9" fontId="35" fillId="20" borderId="46" xfId="1" applyFont="1" applyFill="1" applyBorder="1" applyAlignment="1" applyProtection="1">
      <alignment horizontal="center" vertical="center"/>
      <protection locked="0"/>
    </xf>
    <xf numFmtId="9" fontId="35" fillId="20" borderId="12" xfId="1" applyFont="1" applyFill="1" applyBorder="1" applyAlignment="1" applyProtection="1">
      <alignment horizontal="center" vertical="center"/>
      <protection locked="0"/>
    </xf>
    <xf numFmtId="9" fontId="35" fillId="20" borderId="61" xfId="1" applyFont="1" applyFill="1" applyBorder="1" applyAlignment="1" applyProtection="1">
      <alignment horizontal="center" vertical="center"/>
      <protection locked="0"/>
    </xf>
    <xf numFmtId="9" fontId="35" fillId="19" borderId="12" xfId="1" applyFont="1" applyFill="1" applyBorder="1" applyAlignment="1" applyProtection="1">
      <alignment horizontal="center" vertical="center"/>
      <protection locked="0"/>
    </xf>
    <xf numFmtId="9" fontId="35" fillId="19" borderId="47" xfId="1" applyFont="1" applyFill="1" applyBorder="1" applyAlignment="1" applyProtection="1">
      <alignment horizontal="center" vertical="center"/>
      <protection locked="0"/>
    </xf>
    <xf numFmtId="9" fontId="35" fillId="19" borderId="61" xfId="1" applyFont="1" applyFill="1" applyBorder="1" applyAlignment="1" applyProtection="1">
      <alignment horizontal="center" vertical="center"/>
      <protection locked="0"/>
    </xf>
    <xf numFmtId="9" fontId="35" fillId="22" borderId="12" xfId="1" applyFont="1" applyFill="1" applyBorder="1" applyAlignment="1" applyProtection="1">
      <alignment horizontal="center" vertical="center"/>
      <protection locked="0"/>
    </xf>
    <xf numFmtId="9" fontId="35" fillId="22" borderId="47" xfId="1" applyFont="1" applyFill="1" applyBorder="1" applyAlignment="1" applyProtection="1">
      <alignment horizontal="center" vertical="center"/>
      <protection locked="0"/>
    </xf>
    <xf numFmtId="9" fontId="35" fillId="22" borderId="61" xfId="1" applyFont="1" applyFill="1" applyBorder="1" applyAlignment="1" applyProtection="1">
      <alignment horizontal="center" vertical="center"/>
      <protection locked="0"/>
    </xf>
    <xf numFmtId="170" fontId="35" fillId="20" borderId="46" xfId="1" applyNumberFormat="1" applyFont="1" applyFill="1" applyBorder="1" applyAlignment="1" applyProtection="1">
      <alignment horizontal="center" vertical="center"/>
      <protection locked="0"/>
    </xf>
    <xf numFmtId="170" fontId="35" fillId="20" borderId="12" xfId="1" applyNumberFormat="1" applyFont="1" applyFill="1" applyBorder="1" applyAlignment="1" applyProtection="1">
      <alignment horizontal="center" vertical="center"/>
      <protection locked="0"/>
    </xf>
    <xf numFmtId="170" fontId="35" fillId="20" borderId="61" xfId="1" applyNumberFormat="1" applyFont="1" applyFill="1" applyBorder="1" applyAlignment="1" applyProtection="1">
      <alignment horizontal="center" vertical="center"/>
      <protection locked="0"/>
    </xf>
    <xf numFmtId="170" fontId="35" fillId="19" borderId="12" xfId="1" applyNumberFormat="1" applyFont="1" applyFill="1" applyBorder="1" applyAlignment="1" applyProtection="1">
      <alignment horizontal="center" vertical="center"/>
      <protection locked="0"/>
    </xf>
    <xf numFmtId="170" fontId="35" fillId="19" borderId="47" xfId="1" applyNumberFormat="1" applyFont="1" applyFill="1" applyBorder="1" applyAlignment="1" applyProtection="1">
      <alignment horizontal="center" vertical="center"/>
      <protection locked="0"/>
    </xf>
    <xf numFmtId="170" fontId="35" fillId="19" borderId="61" xfId="1" applyNumberFormat="1" applyFont="1" applyFill="1" applyBorder="1" applyAlignment="1" applyProtection="1">
      <alignment horizontal="center" vertical="center"/>
      <protection locked="0"/>
    </xf>
    <xf numFmtId="0" fontId="30" fillId="0" borderId="27" xfId="66" applyFont="1" applyBorder="1" applyAlignment="1" applyProtection="1">
      <alignment horizontal="left" wrapText="1" indent="2"/>
    </xf>
    <xf numFmtId="170" fontId="35" fillId="19" borderId="68" xfId="66" applyNumberFormat="1" applyFont="1" applyFill="1" applyBorder="1" applyAlignment="1" applyProtection="1">
      <alignment horizontal="center" vertical="center"/>
      <protection locked="0"/>
    </xf>
    <xf numFmtId="170" fontId="35" fillId="19" borderId="15" xfId="66" applyNumberFormat="1" applyFont="1" applyFill="1" applyBorder="1" applyAlignment="1" applyProtection="1">
      <alignment horizontal="center" vertical="center"/>
      <protection locked="0"/>
    </xf>
    <xf numFmtId="170" fontId="35" fillId="19" borderId="69" xfId="66" applyNumberFormat="1" applyFont="1" applyFill="1" applyBorder="1" applyAlignment="1" applyProtection="1">
      <alignment horizontal="center" vertical="center"/>
      <protection locked="0"/>
    </xf>
    <xf numFmtId="170" fontId="2" fillId="18" borderId="15" xfId="66" applyNumberFormat="1" applyFill="1" applyBorder="1" applyAlignment="1" applyProtection="1">
      <alignment horizontal="center" vertical="center"/>
    </xf>
    <xf numFmtId="170" fontId="2" fillId="18" borderId="70" xfId="66" applyNumberFormat="1" applyFill="1" applyBorder="1" applyAlignment="1" applyProtection="1">
      <alignment horizontal="center" vertical="center"/>
    </xf>
    <xf numFmtId="170" fontId="2" fillId="18" borderId="69" xfId="66" applyNumberFormat="1" applyFill="1" applyBorder="1" applyAlignment="1" applyProtection="1">
      <alignment horizontal="center" vertical="center"/>
    </xf>
    <xf numFmtId="0" fontId="30" fillId="0" borderId="36" xfId="66" applyFont="1" applyFill="1" applyBorder="1" applyAlignment="1" applyProtection="1">
      <alignment horizontal="left" wrapText="1" indent="2"/>
    </xf>
    <xf numFmtId="0" fontId="2" fillId="0" borderId="35" xfId="66" applyNumberFormat="1" applyFont="1" applyBorder="1" applyAlignment="1" applyProtection="1">
      <alignment horizontal="center" wrapText="1"/>
    </xf>
    <xf numFmtId="170" fontId="2" fillId="22" borderId="35" xfId="66" applyNumberFormat="1" applyFont="1" applyFill="1" applyBorder="1" applyAlignment="1" applyProtection="1">
      <alignment horizontal="center" vertical="center"/>
      <protection locked="0"/>
    </xf>
    <xf numFmtId="170" fontId="2" fillId="22" borderId="35" xfId="66" applyNumberFormat="1" applyFont="1" applyFill="1" applyBorder="1" applyAlignment="1" applyProtection="1">
      <alignment horizontal="center" vertical="center"/>
    </xf>
    <xf numFmtId="170" fontId="2" fillId="22" borderId="39" xfId="66" applyNumberFormat="1" applyFont="1" applyFill="1" applyBorder="1" applyAlignment="1" applyProtection="1">
      <alignment horizontal="center" vertical="center"/>
    </xf>
    <xf numFmtId="170" fontId="2" fillId="18" borderId="35" xfId="66" applyNumberFormat="1" applyFont="1" applyFill="1" applyBorder="1" applyAlignment="1" applyProtection="1">
      <alignment horizontal="center" vertical="center"/>
    </xf>
    <xf numFmtId="170" fontId="2" fillId="18" borderId="39" xfId="66" applyNumberFormat="1" applyFont="1" applyFill="1" applyBorder="1" applyAlignment="1" applyProtection="1">
      <alignment horizontal="center" vertical="center"/>
    </xf>
    <xf numFmtId="170" fontId="2" fillId="18" borderId="30" xfId="66" applyNumberFormat="1" applyFill="1" applyBorder="1" applyAlignment="1" applyProtection="1">
      <alignment horizontal="center" vertical="center"/>
    </xf>
    <xf numFmtId="0" fontId="2" fillId="0" borderId="46" xfId="66" applyBorder="1" applyAlignment="1" applyProtection="1">
      <alignment horizontal="center" vertical="center"/>
    </xf>
    <xf numFmtId="0" fontId="2" fillId="0" borderId="47" xfId="66" applyBorder="1" applyAlignment="1" applyProtection="1">
      <alignment horizontal="center" vertical="center"/>
    </xf>
    <xf numFmtId="0" fontId="2" fillId="0" borderId="61" xfId="66" applyBorder="1" applyAlignment="1" applyProtection="1">
      <alignment horizontal="center" vertical="center"/>
    </xf>
    <xf numFmtId="0" fontId="2" fillId="0" borderId="46" xfId="66" applyFill="1" applyBorder="1" applyAlignment="1" applyProtection="1">
      <alignment horizontal="center" vertical="center"/>
    </xf>
    <xf numFmtId="0" fontId="2" fillId="0" borderId="61" xfId="66" applyFill="1" applyBorder="1" applyAlignment="1" applyProtection="1">
      <alignment horizontal="center" vertical="center"/>
    </xf>
    <xf numFmtId="0" fontId="30" fillId="0" borderId="36" xfId="66" applyFont="1" applyBorder="1" applyAlignment="1" applyProtection="1">
      <alignment horizontal="left" wrapText="1" indent="2"/>
    </xf>
    <xf numFmtId="170" fontId="2" fillId="0" borderId="0" xfId="67" applyNumberFormat="1" applyAlignment="1" applyProtection="1">
      <alignment horizontal="center" vertical="center"/>
    </xf>
    <xf numFmtId="0" fontId="2" fillId="0" borderId="0" xfId="66" applyBorder="1" applyProtection="1"/>
    <xf numFmtId="0" fontId="2" fillId="0" borderId="0" xfId="66" applyFont="1" applyBorder="1" applyProtection="1"/>
    <xf numFmtId="0" fontId="2" fillId="0" borderId="0" xfId="66" applyBorder="1" applyAlignment="1" applyProtection="1">
      <alignment horizontal="center"/>
    </xf>
    <xf numFmtId="0" fontId="38" fillId="21" borderId="0" xfId="0" applyFont="1" applyFill="1" applyBorder="1" applyAlignment="1" applyProtection="1"/>
    <xf numFmtId="0" fontId="2" fillId="21" borderId="0" xfId="63" applyFill="1" applyBorder="1" applyAlignment="1" applyProtection="1"/>
    <xf numFmtId="0" fontId="41" fillId="21" borderId="0" xfId="0" applyFont="1" applyFill="1" applyBorder="1" applyAlignment="1" applyProtection="1"/>
    <xf numFmtId="0" fontId="31" fillId="21" borderId="0" xfId="63" applyFont="1" applyFill="1" applyBorder="1" applyAlignment="1" applyProtection="1"/>
    <xf numFmtId="0" fontId="39" fillId="21" borderId="0" xfId="63" applyFont="1" applyFill="1" applyBorder="1" applyAlignment="1" applyProtection="1"/>
    <xf numFmtId="0" fontId="40" fillId="21" borderId="0" xfId="63" applyFont="1" applyFill="1" applyBorder="1" applyAlignment="1" applyProtection="1">
      <alignment horizontal="left"/>
    </xf>
    <xf numFmtId="0" fontId="42" fillId="21" borderId="0" xfId="63" applyFont="1" applyFill="1" applyBorder="1" applyAlignment="1" applyProtection="1">
      <alignment horizontal="left"/>
    </xf>
    <xf numFmtId="0" fontId="40" fillId="21" borderId="31" xfId="63" applyFont="1" applyFill="1" applyBorder="1" applyAlignment="1" applyProtection="1"/>
    <xf numFmtId="0" fontId="2" fillId="21" borderId="31" xfId="63" applyFill="1" applyBorder="1" applyAlignment="1" applyProtection="1"/>
    <xf numFmtId="0" fontId="42" fillId="21" borderId="31" xfId="63" applyFont="1" applyFill="1" applyBorder="1" applyAlignment="1" applyProtection="1">
      <alignment horizontal="left"/>
    </xf>
    <xf numFmtId="0" fontId="30" fillId="0" borderId="0" xfId="63" applyFont="1" applyBorder="1" applyAlignment="1" applyProtection="1">
      <alignment horizontal="center" vertical="center"/>
    </xf>
    <xf numFmtId="0" fontId="30" fillId="0" borderId="0" xfId="63" applyFont="1" applyBorder="1" applyAlignment="1" applyProtection="1">
      <alignment horizontal="centerContinuous" vertical="center"/>
    </xf>
    <xf numFmtId="0" fontId="30" fillId="0" borderId="12" xfId="63" applyFont="1" applyBorder="1" applyAlignment="1" applyProtection="1">
      <alignment horizontal="center" vertical="center" wrapText="1"/>
    </xf>
    <xf numFmtId="0" fontId="30" fillId="0" borderId="46" xfId="63" applyFont="1" applyBorder="1" applyAlignment="1" applyProtection="1">
      <alignment horizontal="center" vertical="center"/>
    </xf>
    <xf numFmtId="0" fontId="30" fillId="0" borderId="47" xfId="63" applyFont="1" applyBorder="1" applyAlignment="1" applyProtection="1">
      <alignment horizontal="center" vertical="center"/>
    </xf>
    <xf numFmtId="0" fontId="30" fillId="0" borderId="61" xfId="63" applyFont="1" applyBorder="1" applyAlignment="1" applyProtection="1">
      <alignment horizontal="center" vertical="center"/>
    </xf>
    <xf numFmtId="0" fontId="30" fillId="0" borderId="0" xfId="63" applyFont="1" applyBorder="1" applyAlignment="1" applyProtection="1">
      <alignment horizontal="center" vertical="center" wrapText="1"/>
    </xf>
    <xf numFmtId="0" fontId="30" fillId="0" borderId="58" xfId="63" applyFont="1" applyFill="1" applyBorder="1" applyAlignment="1" applyProtection="1">
      <alignment horizontal="center" vertical="center"/>
    </xf>
    <xf numFmtId="0" fontId="30" fillId="0" borderId="60" xfId="63" applyFont="1" applyFill="1" applyBorder="1" applyAlignment="1" applyProtection="1">
      <alignment horizontal="center" vertical="center"/>
    </xf>
    <xf numFmtId="0" fontId="30" fillId="0" borderId="59" xfId="63" applyFont="1" applyFill="1" applyBorder="1" applyAlignment="1" applyProtection="1">
      <alignment horizontal="center" vertical="center"/>
    </xf>
    <xf numFmtId="0" fontId="30" fillId="0" borderId="20" xfId="63" applyFont="1" applyFill="1" applyBorder="1" applyAlignment="1" applyProtection="1">
      <alignment horizontal="center" vertical="center"/>
    </xf>
    <xf numFmtId="0" fontId="0" fillId="0" borderId="0" xfId="0" applyBorder="1" applyProtection="1"/>
    <xf numFmtId="0" fontId="30" fillId="0" borderId="0" xfId="63" applyFont="1" applyFill="1" applyBorder="1" applyAlignment="1" applyProtection="1">
      <alignment horizontal="center" vertical="center"/>
    </xf>
    <xf numFmtId="0" fontId="2" fillId="0" borderId="27" xfId="63" applyFill="1" applyBorder="1" applyAlignment="1" applyProtection="1">
      <alignment horizontal="center" vertical="center"/>
    </xf>
    <xf numFmtId="0" fontId="2" fillId="0" borderId="0" xfId="63" applyFill="1" applyBorder="1" applyAlignment="1" applyProtection="1">
      <alignment horizontal="center" vertical="center"/>
    </xf>
    <xf numFmtId="0" fontId="2" fillId="0" borderId="28" xfId="63" applyFill="1" applyBorder="1" applyAlignment="1" applyProtection="1">
      <alignment horizontal="center" vertical="center"/>
    </xf>
    <xf numFmtId="0" fontId="2" fillId="0" borderId="28" xfId="63" applyBorder="1" applyAlignment="1" applyProtection="1">
      <alignment horizontal="center" vertical="center"/>
    </xf>
    <xf numFmtId="9" fontId="2" fillId="0" borderId="28" xfId="1" applyFont="1" applyBorder="1" applyAlignment="1" applyProtection="1">
      <alignment horizontal="center" vertical="center"/>
    </xf>
    <xf numFmtId="9" fontId="2" fillId="0" borderId="0" xfId="1" applyFont="1" applyFill="1" applyBorder="1" applyAlignment="1" applyProtection="1">
      <alignment horizontal="center" vertical="center"/>
    </xf>
    <xf numFmtId="0" fontId="2" fillId="0" borderId="27" xfId="63" applyFont="1" applyBorder="1" applyAlignment="1" applyProtection="1">
      <alignment horizontal="left" vertical="center" wrapText="1" indent="1"/>
    </xf>
    <xf numFmtId="170" fontId="35" fillId="19" borderId="46" xfId="63" applyNumberFormat="1" applyFont="1" applyFill="1" applyBorder="1" applyAlignment="1" applyProtection="1">
      <alignment horizontal="center" vertical="center"/>
      <protection locked="0"/>
    </xf>
    <xf numFmtId="170" fontId="35" fillId="19" borderId="12" xfId="63" applyNumberFormat="1" applyFont="1" applyFill="1" applyBorder="1" applyAlignment="1" applyProtection="1">
      <alignment horizontal="center" vertical="center"/>
      <protection locked="0"/>
    </xf>
    <xf numFmtId="170" fontId="35" fillId="19" borderId="61" xfId="63" applyNumberFormat="1" applyFont="1" applyFill="1" applyBorder="1" applyAlignment="1" applyProtection="1">
      <alignment horizontal="center" vertical="center"/>
      <protection locked="0"/>
    </xf>
    <xf numFmtId="170" fontId="35" fillId="19" borderId="47" xfId="63" applyNumberFormat="1" applyFont="1" applyFill="1" applyBorder="1" applyAlignment="1" applyProtection="1">
      <alignment horizontal="center" vertical="center"/>
      <protection locked="0"/>
    </xf>
    <xf numFmtId="170" fontId="0" fillId="0" borderId="0" xfId="0" applyNumberFormat="1" applyBorder="1" applyProtection="1"/>
    <xf numFmtId="170" fontId="2" fillId="18" borderId="46" xfId="63" applyNumberFormat="1" applyFill="1" applyBorder="1" applyAlignment="1" applyProtection="1">
      <alignment horizontal="center" vertical="center"/>
    </xf>
    <xf numFmtId="170" fontId="2" fillId="18" borderId="47" xfId="63" applyNumberFormat="1" applyFill="1" applyBorder="1" applyAlignment="1" applyProtection="1">
      <alignment horizontal="center" vertical="center"/>
    </xf>
    <xf numFmtId="170" fontId="2" fillId="18" borderId="61" xfId="63" applyNumberFormat="1" applyFill="1" applyBorder="1" applyAlignment="1" applyProtection="1">
      <alignment horizontal="center" vertical="center"/>
    </xf>
    <xf numFmtId="164" fontId="2" fillId="0" borderId="0" xfId="1" applyNumberFormat="1" applyFont="1" applyFill="1" applyBorder="1" applyAlignment="1" applyProtection="1">
      <alignment horizontal="center" vertical="center"/>
    </xf>
    <xf numFmtId="0" fontId="2" fillId="0" borderId="0" xfId="63" applyFont="1" applyProtection="1"/>
    <xf numFmtId="170" fontId="35" fillId="20" borderId="46" xfId="63" applyNumberFormat="1" applyFont="1" applyFill="1" applyBorder="1" applyAlignment="1" applyProtection="1">
      <alignment horizontal="center" vertical="center"/>
    </xf>
    <xf numFmtId="170" fontId="35" fillId="20" borderId="12" xfId="63" applyNumberFormat="1" applyFont="1" applyFill="1" applyBorder="1" applyAlignment="1" applyProtection="1">
      <alignment horizontal="center" vertical="center"/>
    </xf>
    <xf numFmtId="170" fontId="0" fillId="0" borderId="0" xfId="0" applyNumberFormat="1" applyProtection="1"/>
    <xf numFmtId="170" fontId="30" fillId="18" borderId="46" xfId="63" applyNumberFormat="1" applyFont="1" applyFill="1" applyBorder="1" applyAlignment="1" applyProtection="1">
      <alignment horizontal="center" vertical="center"/>
    </xf>
    <xf numFmtId="170" fontId="30" fillId="18" borderId="12" xfId="63" applyNumberFormat="1" applyFont="1" applyFill="1" applyBorder="1" applyAlignment="1" applyProtection="1">
      <alignment horizontal="center" vertical="center"/>
    </xf>
    <xf numFmtId="170" fontId="30" fillId="18" borderId="61" xfId="63" applyNumberFormat="1" applyFont="1" applyFill="1" applyBorder="1" applyAlignment="1" applyProtection="1">
      <alignment horizontal="center" vertical="center"/>
    </xf>
    <xf numFmtId="170" fontId="30" fillId="18" borderId="47" xfId="63" applyNumberFormat="1" applyFont="1" applyFill="1" applyBorder="1" applyAlignment="1" applyProtection="1">
      <alignment horizontal="center" vertical="center"/>
    </xf>
    <xf numFmtId="170" fontId="36" fillId="0" borderId="0" xfId="0" applyNumberFormat="1" applyFont="1" applyProtection="1"/>
    <xf numFmtId="164" fontId="30" fillId="18" borderId="61" xfId="63" applyNumberFormat="1" applyFont="1" applyFill="1" applyBorder="1" applyAlignment="1" applyProtection="1">
      <alignment horizontal="center" vertical="center"/>
    </xf>
    <xf numFmtId="164" fontId="30" fillId="0" borderId="0" xfId="63" applyNumberFormat="1" applyFont="1" applyFill="1" applyBorder="1" applyAlignment="1" applyProtection="1">
      <alignment horizontal="center" vertical="center"/>
    </xf>
    <xf numFmtId="164" fontId="2" fillId="0" borderId="0" xfId="63" applyNumberFormat="1" applyFont="1" applyFill="1" applyBorder="1" applyAlignment="1" applyProtection="1">
      <alignment horizontal="center" vertical="center"/>
    </xf>
    <xf numFmtId="170" fontId="2" fillId="0" borderId="27" xfId="63" applyNumberFormat="1" applyFill="1" applyBorder="1" applyAlignment="1" applyProtection="1">
      <alignment horizontal="center" vertical="center"/>
    </xf>
    <xf numFmtId="170" fontId="2" fillId="0" borderId="0" xfId="63" applyNumberFormat="1" applyFill="1" applyBorder="1" applyAlignment="1" applyProtection="1">
      <alignment horizontal="center" vertical="center"/>
    </xf>
    <xf numFmtId="170" fontId="2" fillId="0" borderId="28" xfId="63" applyNumberFormat="1" applyFill="1" applyBorder="1" applyAlignment="1" applyProtection="1">
      <alignment horizontal="center" vertical="center"/>
    </xf>
    <xf numFmtId="170" fontId="2" fillId="0" borderId="0" xfId="63" applyNumberFormat="1" applyBorder="1" applyAlignment="1" applyProtection="1">
      <alignment horizontal="center" vertical="center"/>
    </xf>
    <xf numFmtId="170" fontId="2" fillId="0" borderId="28" xfId="63" applyNumberFormat="1" applyBorder="1" applyAlignment="1" applyProtection="1">
      <alignment horizontal="center" vertical="center"/>
    </xf>
    <xf numFmtId="164" fontId="2" fillId="0" borderId="28" xfId="1" applyNumberFormat="1" applyFont="1" applyBorder="1" applyAlignment="1" applyProtection="1">
      <alignment horizontal="center" vertical="center"/>
    </xf>
    <xf numFmtId="170" fontId="35" fillId="20" borderId="36" xfId="63" applyNumberFormat="1" applyFont="1" applyFill="1" applyBorder="1" applyAlignment="1" applyProtection="1">
      <alignment horizontal="center" vertical="center"/>
    </xf>
    <xf numFmtId="170" fontId="35" fillId="20" borderId="34" xfId="63" applyNumberFormat="1" applyFont="1" applyFill="1" applyBorder="1" applyAlignment="1" applyProtection="1">
      <alignment horizontal="center" vertical="center"/>
    </xf>
    <xf numFmtId="170" fontId="35" fillId="19" borderId="34" xfId="63" applyNumberFormat="1" applyFont="1" applyFill="1" applyBorder="1" applyAlignment="1" applyProtection="1">
      <alignment horizontal="center" vertical="center"/>
      <protection locked="0"/>
    </xf>
    <xf numFmtId="170" fontId="35" fillId="19" borderId="39" xfId="63" applyNumberFormat="1" applyFont="1" applyFill="1" applyBorder="1" applyAlignment="1" applyProtection="1">
      <alignment horizontal="center" vertical="center"/>
      <protection locked="0"/>
    </xf>
    <xf numFmtId="170" fontId="35" fillId="19" borderId="35" xfId="63" applyNumberFormat="1" applyFont="1" applyFill="1" applyBorder="1" applyAlignment="1" applyProtection="1">
      <alignment horizontal="center" vertical="center"/>
      <protection locked="0"/>
    </xf>
    <xf numFmtId="170" fontId="2" fillId="18" borderId="36" xfId="63" applyNumberFormat="1" applyFill="1" applyBorder="1" applyAlignment="1" applyProtection="1">
      <alignment horizontal="center" vertical="center"/>
    </xf>
    <xf numFmtId="170" fontId="2" fillId="18" borderId="35" xfId="63" applyNumberFormat="1" applyFill="1" applyBorder="1" applyAlignment="1" applyProtection="1">
      <alignment horizontal="center" vertical="center"/>
    </xf>
    <xf numFmtId="170" fontId="2" fillId="18" borderId="39" xfId="63" applyNumberFormat="1" applyFill="1" applyBorder="1" applyAlignment="1" applyProtection="1">
      <alignment horizontal="center" vertical="center"/>
    </xf>
    <xf numFmtId="0" fontId="2" fillId="0" borderId="0" xfId="63" applyFill="1" applyProtection="1"/>
    <xf numFmtId="0" fontId="30" fillId="0" borderId="54" xfId="63" applyFont="1" applyBorder="1" applyAlignment="1" applyProtection="1">
      <alignment horizontal="centerContinuous" vertical="center"/>
    </xf>
    <xf numFmtId="0" fontId="30" fillId="0" borderId="55" xfId="63" applyFont="1" applyBorder="1" applyAlignment="1" applyProtection="1">
      <alignment horizontal="centerContinuous" vertical="center" wrapText="1"/>
    </xf>
    <xf numFmtId="0" fontId="30" fillId="0" borderId="57" xfId="63" applyFont="1" applyBorder="1" applyAlignment="1" applyProtection="1">
      <alignment horizontal="centerContinuous" vertical="center" wrapText="1"/>
    </xf>
    <xf numFmtId="0" fontId="30" fillId="0" borderId="46" xfId="68" applyFont="1" applyFill="1" applyBorder="1" applyAlignment="1" applyProtection="1">
      <alignment horizontal="center"/>
    </xf>
    <xf numFmtId="0" fontId="30" fillId="0" borderId="47" xfId="69" applyFont="1" applyFill="1" applyBorder="1" applyAlignment="1" applyProtection="1">
      <alignment horizontal="center"/>
    </xf>
    <xf numFmtId="0" fontId="30" fillId="0" borderId="61" xfId="69" applyFont="1" applyBorder="1" applyAlignment="1" applyProtection="1">
      <alignment horizontal="center"/>
    </xf>
    <xf numFmtId="0" fontId="30" fillId="0" borderId="46" xfId="69" applyFont="1" applyBorder="1" applyAlignment="1" applyProtection="1">
      <alignment horizontal="center" vertical="center"/>
    </xf>
    <xf numFmtId="0" fontId="30" fillId="0" borderId="61" xfId="69" applyFont="1" applyBorder="1" applyAlignment="1" applyProtection="1">
      <alignment horizontal="center" vertical="center"/>
    </xf>
    <xf numFmtId="0" fontId="2" fillId="23" borderId="74" xfId="69" applyFont="1" applyFill="1" applyBorder="1" applyAlignment="1" applyProtection="1">
      <alignment horizontal="left" vertical="center"/>
    </xf>
    <xf numFmtId="170" fontId="35" fillId="19" borderId="46" xfId="69" applyNumberFormat="1" applyFont="1" applyFill="1" applyBorder="1" applyAlignment="1" applyProtection="1">
      <alignment horizontal="center" vertical="center"/>
      <protection locked="0"/>
    </xf>
    <xf numFmtId="170" fontId="35" fillId="19" borderId="47" xfId="69" applyNumberFormat="1" applyFont="1" applyFill="1" applyBorder="1" applyAlignment="1" applyProtection="1">
      <alignment horizontal="center" vertical="center"/>
      <protection locked="0"/>
    </xf>
    <xf numFmtId="170" fontId="35" fillId="19" borderId="61" xfId="69" applyNumberFormat="1" applyFont="1" applyFill="1" applyBorder="1" applyAlignment="1" applyProtection="1">
      <alignment horizontal="center" vertical="center"/>
      <protection locked="0"/>
    </xf>
    <xf numFmtId="170" fontId="2" fillId="18" borderId="46" xfId="69" applyNumberFormat="1" applyFont="1" applyFill="1" applyBorder="1" applyAlignment="1" applyProtection="1">
      <alignment horizontal="center" vertical="center"/>
    </xf>
    <xf numFmtId="170" fontId="2" fillId="18" borderId="61" xfId="69" applyNumberFormat="1" applyFont="1" applyFill="1" applyBorder="1" applyAlignment="1" applyProtection="1">
      <alignment horizontal="center" vertical="center"/>
    </xf>
    <xf numFmtId="0" fontId="2" fillId="0" borderId="38" xfId="69" applyFont="1" applyFill="1" applyBorder="1" applyAlignment="1" applyProtection="1">
      <alignment horizontal="left" vertical="center"/>
    </xf>
    <xf numFmtId="0" fontId="2" fillId="0" borderId="75" xfId="69" applyFont="1" applyFill="1" applyBorder="1" applyAlignment="1" applyProtection="1">
      <alignment horizontal="left" vertical="center"/>
    </xf>
    <xf numFmtId="10" fontId="2" fillId="0" borderId="36" xfId="69" applyNumberFormat="1" applyFont="1" applyFill="1" applyBorder="1" applyAlignment="1" applyProtection="1">
      <alignment horizontal="center" vertical="center"/>
    </xf>
    <xf numFmtId="10" fontId="2" fillId="0" borderId="35" xfId="69" applyNumberFormat="1" applyFont="1" applyFill="1" applyBorder="1" applyAlignment="1" applyProtection="1">
      <alignment horizontal="center" vertical="center"/>
    </xf>
    <xf numFmtId="10" fontId="2" fillId="0" borderId="39" xfId="69" applyNumberFormat="1" applyFont="1" applyFill="1" applyBorder="1" applyAlignment="1" applyProtection="1">
      <alignment horizontal="center" vertical="center"/>
    </xf>
    <xf numFmtId="1" fontId="2" fillId="18" borderId="36" xfId="69" applyNumberFormat="1" applyFont="1" applyFill="1" applyBorder="1" applyAlignment="1" applyProtection="1">
      <alignment horizontal="center" vertical="center"/>
    </xf>
    <xf numFmtId="1" fontId="2" fillId="18" borderId="39" xfId="69" applyNumberFormat="1" applyFont="1" applyFill="1" applyBorder="1" applyAlignment="1" applyProtection="1">
      <alignment horizontal="center" vertical="center"/>
    </xf>
    <xf numFmtId="0" fontId="2" fillId="0" borderId="0" xfId="69" applyFont="1" applyFill="1" applyBorder="1" applyAlignment="1" applyProtection="1">
      <alignment horizontal="left" vertical="center"/>
    </xf>
    <xf numFmtId="0" fontId="2" fillId="0" borderId="0" xfId="70" applyFont="1" applyProtection="1"/>
    <xf numFmtId="0" fontId="2" fillId="0" borderId="38" xfId="69" applyFont="1" applyFill="1" applyBorder="1" applyAlignment="1" applyProtection="1">
      <alignment horizontal="left" vertical="center" wrapText="1"/>
    </xf>
    <xf numFmtId="164" fontId="2" fillId="0" borderId="46" xfId="71" applyNumberFormat="1" applyFont="1" applyFill="1" applyBorder="1" applyAlignment="1" applyProtection="1">
      <alignment horizontal="center" vertical="center"/>
    </xf>
    <xf numFmtId="164" fontId="2" fillId="0" borderId="47" xfId="71" applyNumberFormat="1" applyFont="1" applyFill="1" applyBorder="1" applyAlignment="1" applyProtection="1">
      <alignment horizontal="center" vertical="center"/>
    </xf>
    <xf numFmtId="164" fontId="2" fillId="0" borderId="61" xfId="71" applyNumberFormat="1" applyFont="1" applyFill="1" applyBorder="1" applyAlignment="1" applyProtection="1">
      <alignment horizontal="center" vertical="center"/>
    </xf>
    <xf numFmtId="9" fontId="2" fillId="18" borderId="46" xfId="1" applyFont="1" applyFill="1" applyBorder="1" applyAlignment="1" applyProtection="1">
      <alignment horizontal="center" vertical="center"/>
    </xf>
    <xf numFmtId="9" fontId="2" fillId="18" borderId="61" xfId="1" applyFont="1" applyFill="1" applyBorder="1" applyAlignment="1" applyProtection="1">
      <alignment horizontal="center" vertical="center"/>
    </xf>
    <xf numFmtId="0" fontId="2" fillId="0" borderId="75" xfId="69" applyFont="1" applyBorder="1" applyAlignment="1" applyProtection="1">
      <alignment horizontal="left" vertical="center" wrapText="1"/>
    </xf>
    <xf numFmtId="170" fontId="35" fillId="19" borderId="36" xfId="69" applyNumberFormat="1" applyFont="1" applyFill="1" applyBorder="1" applyAlignment="1" applyProtection="1">
      <alignment horizontal="center" vertical="center"/>
      <protection locked="0"/>
    </xf>
    <xf numFmtId="170" fontId="35" fillId="19" borderId="35" xfId="69" applyNumberFormat="1" applyFont="1" applyFill="1" applyBorder="1" applyAlignment="1" applyProtection="1">
      <alignment horizontal="center" vertical="center"/>
      <protection locked="0"/>
    </xf>
    <xf numFmtId="170" fontId="44" fillId="19" borderId="39" xfId="69" applyNumberFormat="1" applyFont="1" applyFill="1" applyBorder="1" applyAlignment="1" applyProtection="1">
      <alignment horizontal="center" vertical="center"/>
      <protection locked="0"/>
    </xf>
    <xf numFmtId="170" fontId="2" fillId="18" borderId="36" xfId="69" applyNumberFormat="1" applyFont="1" applyFill="1" applyBorder="1" applyAlignment="1" applyProtection="1">
      <alignment horizontal="center" vertical="center"/>
    </xf>
    <xf numFmtId="170" fontId="2" fillId="18" borderId="39" xfId="69" applyNumberFormat="1" applyFont="1" applyFill="1" applyBorder="1" applyAlignment="1" applyProtection="1">
      <alignment horizontal="center" vertical="center"/>
    </xf>
    <xf numFmtId="0" fontId="2" fillId="0" borderId="21" xfId="63" applyBorder="1" applyProtection="1"/>
    <xf numFmtId="0" fontId="30" fillId="0" borderId="77" xfId="63" applyFont="1" applyBorder="1" applyAlignment="1" applyProtection="1">
      <alignment horizontal="center" vertical="center" wrapText="1"/>
    </xf>
    <xf numFmtId="0" fontId="2" fillId="0" borderId="27" xfId="63" applyBorder="1" applyProtection="1"/>
    <xf numFmtId="0" fontId="30" fillId="0" borderId="55" xfId="63" applyFont="1" applyBorder="1" applyAlignment="1" applyProtection="1">
      <alignment horizontal="center" vertical="center" wrapText="1"/>
    </xf>
    <xf numFmtId="0" fontId="30" fillId="0" borderId="56" xfId="63" applyFont="1" applyBorder="1" applyAlignment="1" applyProtection="1">
      <alignment horizontal="center" vertical="center" wrapText="1"/>
    </xf>
    <xf numFmtId="0" fontId="30" fillId="0" borderId="57" xfId="63" applyFont="1" applyBorder="1" applyAlignment="1" applyProtection="1">
      <alignment horizontal="center" vertical="center" wrapText="1"/>
    </xf>
    <xf numFmtId="0" fontId="30" fillId="0" borderId="74" xfId="63" applyFont="1" applyFill="1" applyBorder="1" applyAlignment="1" applyProtection="1">
      <alignment horizontal="center" vertical="center" wrapText="1"/>
    </xf>
    <xf numFmtId="0" fontId="2" fillId="0" borderId="64" xfId="63" applyBorder="1" applyProtection="1"/>
    <xf numFmtId="0" fontId="30" fillId="0" borderId="47" xfId="63" applyNumberFormat="1" applyFont="1" applyFill="1" applyBorder="1" applyAlignment="1" applyProtection="1">
      <alignment horizontal="center" vertical="center" wrapText="1"/>
    </xf>
    <xf numFmtId="0" fontId="30" fillId="0" borderId="10" xfId="63" applyFont="1" applyBorder="1" applyAlignment="1" applyProtection="1">
      <alignment horizontal="center" vertical="center"/>
    </xf>
    <xf numFmtId="0" fontId="30" fillId="0" borderId="68" xfId="63" applyFont="1" applyFill="1" applyBorder="1" applyAlignment="1" applyProtection="1">
      <alignment horizontal="center" vertical="center" wrapText="1"/>
    </xf>
    <xf numFmtId="0" fontId="30" fillId="0" borderId="70" xfId="63" applyFont="1" applyFill="1" applyBorder="1" applyAlignment="1" applyProtection="1">
      <alignment horizontal="center" vertical="center" wrapText="1"/>
    </xf>
    <xf numFmtId="0" fontId="30" fillId="0" borderId="13" xfId="63" applyFont="1" applyFill="1" applyBorder="1" applyAlignment="1" applyProtection="1">
      <alignment horizontal="center" vertical="center" wrapText="1"/>
    </xf>
    <xf numFmtId="0" fontId="30" fillId="0" borderId="10" xfId="63" applyFont="1" applyFill="1" applyBorder="1" applyAlignment="1" applyProtection="1">
      <alignment horizontal="center" vertical="center"/>
    </xf>
    <xf numFmtId="0" fontId="32" fillId="0" borderId="70" xfId="69" applyFont="1" applyFill="1" applyBorder="1" applyAlignment="1" applyProtection="1">
      <alignment horizontal="center" vertical="center"/>
    </xf>
    <xf numFmtId="0" fontId="30" fillId="0" borderId="38" xfId="63" applyFont="1" applyFill="1" applyBorder="1" applyAlignment="1" applyProtection="1">
      <alignment horizontal="center" vertical="center"/>
    </xf>
    <xf numFmtId="0" fontId="30" fillId="0" borderId="38" xfId="63" applyFont="1" applyFill="1" applyBorder="1" applyAlignment="1" applyProtection="1">
      <alignment horizontal="center" vertical="center" wrapText="1"/>
    </xf>
    <xf numFmtId="0" fontId="2" fillId="0" borderId="0" xfId="63" applyProtection="1">
      <protection locked="0"/>
    </xf>
    <xf numFmtId="0" fontId="2" fillId="0" borderId="66" xfId="63" applyBorder="1" applyProtection="1">
      <protection locked="0"/>
    </xf>
    <xf numFmtId="0" fontId="35" fillId="19" borderId="47" xfId="63" applyFont="1" applyFill="1" applyBorder="1" applyAlignment="1" applyProtection="1">
      <alignment horizontal="center" vertical="center"/>
      <protection locked="0"/>
    </xf>
    <xf numFmtId="0" fontId="35" fillId="19" borderId="10" xfId="63" applyFont="1" applyFill="1" applyBorder="1" applyAlignment="1" applyProtection="1">
      <alignment horizontal="center" vertical="center"/>
      <protection locked="0"/>
    </xf>
    <xf numFmtId="171" fontId="35" fillId="19" borderId="46" xfId="63" applyNumberFormat="1" applyFont="1" applyFill="1" applyBorder="1" applyAlignment="1" applyProtection="1">
      <alignment horizontal="center" vertical="center"/>
      <protection locked="0"/>
    </xf>
    <xf numFmtId="170" fontId="2" fillId="18" borderId="61" xfId="63" applyNumberFormat="1" applyFont="1" applyFill="1" applyBorder="1" applyAlignment="1" applyProtection="1">
      <alignment horizontal="center" vertical="center"/>
      <protection locked="0"/>
    </xf>
    <xf numFmtId="171" fontId="35" fillId="19" borderId="12" xfId="63" applyNumberFormat="1" applyFont="1" applyFill="1" applyBorder="1" applyAlignment="1" applyProtection="1">
      <alignment horizontal="center" vertical="center"/>
      <protection locked="0"/>
    </xf>
    <xf numFmtId="171" fontId="35" fillId="19" borderId="61" xfId="63" applyNumberFormat="1" applyFont="1" applyFill="1" applyBorder="1" applyAlignment="1" applyProtection="1">
      <alignment horizontal="center" vertical="center"/>
      <protection locked="0"/>
    </xf>
    <xf numFmtId="171" fontId="35" fillId="19" borderId="47" xfId="63" applyNumberFormat="1" applyFont="1" applyFill="1" applyBorder="1" applyAlignment="1" applyProtection="1">
      <alignment horizontal="center" vertical="center"/>
      <protection locked="0"/>
    </xf>
    <xf numFmtId="171" fontId="35" fillId="19" borderId="55" xfId="63" applyNumberFormat="1" applyFont="1" applyFill="1" applyBorder="1" applyAlignment="1" applyProtection="1">
      <alignment horizontal="center" vertical="center"/>
      <protection locked="0"/>
    </xf>
    <xf numFmtId="171" fontId="35" fillId="19" borderId="56" xfId="63" applyNumberFormat="1" applyFont="1" applyFill="1" applyBorder="1" applyAlignment="1" applyProtection="1">
      <alignment horizontal="center" vertical="center"/>
      <protection locked="0"/>
    </xf>
    <xf numFmtId="171" fontId="35" fillId="19" borderId="57" xfId="63" applyNumberFormat="1" applyFont="1" applyFill="1" applyBorder="1" applyAlignment="1" applyProtection="1">
      <alignment horizontal="center" vertical="center"/>
      <protection locked="0"/>
    </xf>
    <xf numFmtId="171" fontId="35" fillId="19" borderId="11" xfId="63" applyNumberFormat="1" applyFont="1" applyFill="1" applyBorder="1" applyAlignment="1" applyProtection="1">
      <alignment horizontal="center" vertical="center"/>
      <protection locked="0"/>
    </xf>
    <xf numFmtId="171" fontId="35" fillId="19" borderId="38" xfId="63" applyNumberFormat="1" applyFont="1" applyFill="1" applyBorder="1" applyAlignment="1" applyProtection="1">
      <alignment horizontal="center" vertical="center"/>
      <protection locked="0"/>
    </xf>
    <xf numFmtId="0" fontId="35" fillId="19" borderId="71" xfId="63" applyNumberFormat="1" applyFont="1" applyFill="1" applyBorder="1" applyAlignment="1" applyProtection="1">
      <alignment horizontal="center" vertical="center"/>
      <protection locked="0"/>
    </xf>
    <xf numFmtId="0" fontId="2" fillId="0" borderId="27" xfId="63" applyBorder="1" applyProtection="1">
      <protection locked="0"/>
    </xf>
    <xf numFmtId="0" fontId="35" fillId="19" borderId="70" xfId="63" applyFont="1" applyFill="1" applyBorder="1" applyAlignment="1" applyProtection="1">
      <alignment horizontal="center" vertical="center"/>
      <protection locked="0"/>
    </xf>
    <xf numFmtId="0" fontId="35" fillId="19" borderId="13" xfId="63" applyFont="1" applyFill="1" applyBorder="1" applyAlignment="1" applyProtection="1">
      <alignment horizontal="center" vertical="center"/>
      <protection locked="0"/>
    </xf>
    <xf numFmtId="171" fontId="35" fillId="19" borderId="68" xfId="63" applyNumberFormat="1" applyFont="1" applyFill="1" applyBorder="1" applyAlignment="1" applyProtection="1">
      <alignment horizontal="center" vertical="center"/>
      <protection locked="0"/>
    </xf>
    <xf numFmtId="170" fontId="2" fillId="18" borderId="69" xfId="63" applyNumberFormat="1" applyFont="1" applyFill="1" applyBorder="1" applyAlignment="1" applyProtection="1">
      <alignment horizontal="center" vertical="center"/>
      <protection locked="0"/>
    </xf>
    <xf numFmtId="171" fontId="35" fillId="19" borderId="15" xfId="63" applyNumberFormat="1" applyFont="1" applyFill="1" applyBorder="1" applyAlignment="1" applyProtection="1">
      <alignment horizontal="center" vertical="center"/>
      <protection locked="0"/>
    </xf>
    <xf numFmtId="171" fontId="35" fillId="19" borderId="69" xfId="63" applyNumberFormat="1" applyFont="1" applyFill="1" applyBorder="1" applyAlignment="1" applyProtection="1">
      <alignment horizontal="center" vertical="center"/>
      <protection locked="0"/>
    </xf>
    <xf numFmtId="171" fontId="35" fillId="19" borderId="70" xfId="63" applyNumberFormat="1" applyFont="1" applyFill="1" applyBorder="1" applyAlignment="1" applyProtection="1">
      <alignment horizontal="center" vertical="center"/>
      <protection locked="0"/>
    </xf>
    <xf numFmtId="0" fontId="35" fillId="19" borderId="66" xfId="63" applyNumberFormat="1" applyFont="1" applyFill="1" applyBorder="1" applyAlignment="1" applyProtection="1">
      <alignment horizontal="center" vertical="center"/>
      <protection locked="0"/>
    </xf>
    <xf numFmtId="171" fontId="35" fillId="19" borderId="36" xfId="63" applyNumberFormat="1" applyFont="1" applyFill="1" applyBorder="1" applyAlignment="1" applyProtection="1">
      <alignment horizontal="center" vertical="center"/>
      <protection locked="0"/>
    </xf>
    <xf numFmtId="171" fontId="35" fillId="19" borderId="35" xfId="63" applyNumberFormat="1" applyFont="1" applyFill="1" applyBorder="1" applyAlignment="1" applyProtection="1">
      <alignment horizontal="center" vertical="center"/>
      <protection locked="0"/>
    </xf>
    <xf numFmtId="171" fontId="35" fillId="19" borderId="39" xfId="63" applyNumberFormat="1" applyFont="1" applyFill="1" applyBorder="1" applyAlignment="1" applyProtection="1">
      <alignment horizontal="center" vertical="center"/>
      <protection locked="0"/>
    </xf>
    <xf numFmtId="0" fontId="2" fillId="18" borderId="78" xfId="63" applyFill="1" applyBorder="1" applyProtection="1">
      <protection locked="0"/>
    </xf>
    <xf numFmtId="0" fontId="2" fillId="18" borderId="78" xfId="63" applyFill="1" applyBorder="1" applyAlignment="1" applyProtection="1">
      <alignment horizontal="center" vertical="center"/>
      <protection locked="0"/>
    </xf>
    <xf numFmtId="0" fontId="2" fillId="20" borderId="35" xfId="63" applyFill="1" applyBorder="1" applyAlignment="1" applyProtection="1">
      <alignment horizontal="center" vertical="center"/>
      <protection locked="0"/>
    </xf>
    <xf numFmtId="1" fontId="2" fillId="18" borderId="35" xfId="63" applyNumberFormat="1" applyFill="1" applyBorder="1" applyAlignment="1" applyProtection="1">
      <alignment horizontal="center" vertical="center"/>
      <protection locked="0"/>
    </xf>
    <xf numFmtId="170" fontId="2" fillId="18" borderId="35" xfId="63" applyNumberFormat="1" applyFill="1" applyBorder="1" applyAlignment="1" applyProtection="1">
      <alignment horizontal="center" vertical="center"/>
      <protection locked="0"/>
    </xf>
    <xf numFmtId="170" fontId="2" fillId="18" borderId="39" xfId="63" applyNumberFormat="1" applyFill="1" applyBorder="1" applyAlignment="1" applyProtection="1">
      <alignment horizontal="center" vertical="center"/>
      <protection locked="0"/>
    </xf>
    <xf numFmtId="2" fontId="2" fillId="18" borderId="34" xfId="63" applyNumberFormat="1" applyFill="1" applyBorder="1" applyAlignment="1" applyProtection="1">
      <alignment horizontal="center" vertical="center"/>
      <protection locked="0"/>
    </xf>
    <xf numFmtId="2" fontId="2" fillId="18" borderId="35" xfId="63" applyNumberFormat="1" applyFill="1" applyBorder="1" applyAlignment="1" applyProtection="1">
      <alignment horizontal="center" vertical="center"/>
      <protection locked="0"/>
    </xf>
    <xf numFmtId="2" fontId="2" fillId="18" borderId="72" xfId="63" applyNumberFormat="1" applyFill="1" applyBorder="1" applyAlignment="1" applyProtection="1">
      <alignment horizontal="center" vertical="center"/>
      <protection locked="0"/>
    </xf>
    <xf numFmtId="2" fontId="2" fillId="18" borderId="78" xfId="63" applyNumberFormat="1" applyFill="1" applyBorder="1" applyAlignment="1" applyProtection="1">
      <alignment horizontal="center" vertical="center"/>
      <protection locked="0"/>
    </xf>
    <xf numFmtId="2" fontId="0" fillId="18" borderId="35" xfId="0" applyNumberFormat="1" applyFill="1" applyBorder="1" applyAlignment="1" applyProtection="1">
      <alignment horizontal="center" vertical="center"/>
      <protection locked="0"/>
    </xf>
    <xf numFmtId="2" fontId="2" fillId="18" borderId="32" xfId="63" applyNumberFormat="1" applyFill="1" applyBorder="1" applyAlignment="1" applyProtection="1">
      <alignment horizontal="center" vertical="center"/>
      <protection locked="0"/>
    </xf>
    <xf numFmtId="2" fontId="2" fillId="20" borderId="79" xfId="63" applyNumberFormat="1" applyFill="1" applyBorder="1" applyAlignment="1" applyProtection="1">
      <alignment horizontal="center" vertical="center"/>
      <protection locked="0"/>
    </xf>
    <xf numFmtId="2" fontId="2" fillId="20" borderId="75" xfId="63" applyNumberFormat="1" applyFill="1" applyBorder="1" applyAlignment="1" applyProtection="1">
      <alignment horizontal="center" vertical="center"/>
      <protection locked="0"/>
    </xf>
    <xf numFmtId="0" fontId="2" fillId="20" borderId="75" xfId="63" applyFill="1" applyBorder="1" applyAlignment="1" applyProtection="1">
      <alignment horizontal="center" vertical="center"/>
      <protection locked="0"/>
    </xf>
    <xf numFmtId="0" fontId="2" fillId="0" borderId="80" xfId="70" applyFont="1" applyBorder="1" applyAlignment="1" applyProtection="1">
      <alignment horizontal="centerContinuous" vertical="center"/>
    </xf>
    <xf numFmtId="0" fontId="2" fillId="0" borderId="56" xfId="70" applyFont="1" applyBorder="1" applyAlignment="1" applyProtection="1">
      <alignment horizontal="centerContinuous" vertical="center"/>
    </xf>
    <xf numFmtId="0" fontId="2" fillId="0" borderId="57" xfId="70" applyFont="1" applyBorder="1" applyAlignment="1" applyProtection="1">
      <alignment horizontal="centerContinuous" vertical="center"/>
    </xf>
    <xf numFmtId="0" fontId="2" fillId="0" borderId="55" xfId="70" applyFont="1" applyBorder="1" applyAlignment="1" applyProtection="1">
      <alignment horizontal="centerContinuous" vertical="center"/>
    </xf>
    <xf numFmtId="0" fontId="2" fillId="0" borderId="12" xfId="70" applyFont="1" applyBorder="1" applyAlignment="1" applyProtection="1">
      <alignment horizontal="center"/>
    </xf>
    <xf numFmtId="0" fontId="2" fillId="0" borderId="47" xfId="70" applyFont="1" applyBorder="1" applyAlignment="1" applyProtection="1">
      <alignment horizontal="center"/>
    </xf>
    <xf numFmtId="0" fontId="2" fillId="0" borderId="61" xfId="70" applyFont="1" applyBorder="1" applyAlignment="1" applyProtection="1">
      <alignment horizontal="center"/>
    </xf>
    <xf numFmtId="0" fontId="2" fillId="0" borderId="46" xfId="70" applyFont="1" applyBorder="1" applyAlignment="1" applyProtection="1">
      <alignment horizontal="center"/>
    </xf>
    <xf numFmtId="1" fontId="35" fillId="19" borderId="20" xfId="70" applyNumberFormat="1" applyFont="1" applyFill="1" applyBorder="1" applyAlignment="1" applyProtection="1">
      <alignment horizontal="center"/>
      <protection locked="0"/>
    </xf>
    <xf numFmtId="1" fontId="35" fillId="19" borderId="59" xfId="70" applyNumberFormat="1" applyFont="1" applyFill="1" applyBorder="1" applyAlignment="1" applyProtection="1">
      <alignment horizontal="center"/>
      <protection locked="0"/>
    </xf>
    <xf numFmtId="1" fontId="35" fillId="19" borderId="58" xfId="70" applyNumberFormat="1" applyFont="1" applyFill="1" applyBorder="1" applyAlignment="1" applyProtection="1">
      <alignment horizontal="center"/>
      <protection locked="0"/>
    </xf>
    <xf numFmtId="1" fontId="35" fillId="19" borderId="12" xfId="70" applyNumberFormat="1" applyFont="1" applyFill="1" applyBorder="1" applyAlignment="1" applyProtection="1">
      <alignment horizontal="center"/>
      <protection locked="0"/>
    </xf>
    <xf numFmtId="1" fontId="35" fillId="19" borderId="40" xfId="70" applyNumberFormat="1" applyFont="1" applyFill="1" applyBorder="1" applyAlignment="1" applyProtection="1">
      <alignment horizontal="center"/>
      <protection locked="0"/>
    </xf>
    <xf numFmtId="1" fontId="35" fillId="19" borderId="46" xfId="70" applyNumberFormat="1" applyFont="1" applyFill="1" applyBorder="1" applyAlignment="1" applyProtection="1">
      <alignment horizontal="center"/>
      <protection locked="0"/>
    </xf>
    <xf numFmtId="1" fontId="35" fillId="19" borderId="61" xfId="70" applyNumberFormat="1" applyFont="1" applyFill="1" applyBorder="1" applyAlignment="1" applyProtection="1">
      <alignment horizontal="center"/>
      <protection locked="0"/>
    </xf>
    <xf numFmtId="1" fontId="35" fillId="19" borderId="36" xfId="70" applyNumberFormat="1" applyFont="1" applyFill="1" applyBorder="1" applyAlignment="1" applyProtection="1">
      <alignment horizontal="center"/>
      <protection locked="0"/>
    </xf>
    <xf numFmtId="1" fontId="35" fillId="19" borderId="34" xfId="70" applyNumberFormat="1" applyFont="1" applyFill="1" applyBorder="1" applyAlignment="1" applyProtection="1">
      <alignment horizontal="center"/>
      <protection locked="0"/>
    </xf>
    <xf numFmtId="1" fontId="35" fillId="19" borderId="39" xfId="70" applyNumberFormat="1" applyFont="1" applyFill="1" applyBorder="1" applyAlignment="1" applyProtection="1">
      <alignment horizontal="center"/>
      <protection locked="0"/>
    </xf>
    <xf numFmtId="0" fontId="2" fillId="0" borderId="54" xfId="63" applyFont="1" applyBorder="1" applyAlignment="1" applyProtection="1">
      <alignment horizontal="centerContinuous" vertical="center"/>
    </xf>
    <xf numFmtId="0" fontId="2" fillId="0" borderId="53" xfId="63" applyFont="1" applyBorder="1" applyAlignment="1" applyProtection="1">
      <alignment horizontal="centerContinuous" vertical="center"/>
    </xf>
    <xf numFmtId="0" fontId="45" fillId="0" borderId="0" xfId="0" applyFont="1" applyProtection="1"/>
    <xf numFmtId="0" fontId="45" fillId="0" borderId="0" xfId="0" applyFont="1" applyBorder="1" applyProtection="1"/>
    <xf numFmtId="0" fontId="30" fillId="0" borderId="27" xfId="63" applyFont="1" applyBorder="1" applyAlignment="1" applyProtection="1">
      <alignment horizontal="left" indent="1"/>
    </xf>
    <xf numFmtId="0" fontId="2" fillId="0" borderId="27" xfId="63" applyFont="1" applyFill="1" applyBorder="1" applyAlignment="1" applyProtection="1">
      <alignment horizontal="center" vertical="center"/>
    </xf>
    <xf numFmtId="0" fontId="2" fillId="0" borderId="0" xfId="63" applyFont="1" applyFill="1" applyBorder="1" applyAlignment="1" applyProtection="1">
      <alignment horizontal="center" vertical="center"/>
    </xf>
    <xf numFmtId="0" fontId="2" fillId="0" borderId="28" xfId="63" applyFont="1" applyFill="1" applyBorder="1" applyAlignment="1" applyProtection="1">
      <alignment horizontal="center" vertical="center"/>
    </xf>
    <xf numFmtId="0" fontId="2" fillId="0" borderId="0" xfId="63" applyFont="1" applyBorder="1" applyAlignment="1" applyProtection="1">
      <alignment horizontal="center" vertical="center"/>
    </xf>
    <xf numFmtId="0" fontId="2" fillId="0" borderId="28" xfId="63" applyFont="1" applyBorder="1" applyAlignment="1" applyProtection="1">
      <alignment horizontal="center" vertical="center"/>
    </xf>
    <xf numFmtId="0" fontId="2" fillId="0" borderId="47" xfId="63" applyFont="1" applyBorder="1" applyAlignment="1" applyProtection="1">
      <alignment horizontal="left" wrapText="1" indent="1"/>
    </xf>
    <xf numFmtId="170" fontId="2" fillId="18" borderId="46" xfId="63" applyNumberFormat="1" applyFont="1" applyFill="1" applyBorder="1" applyAlignment="1" applyProtection="1">
      <alignment horizontal="center" vertical="center"/>
    </xf>
    <xf numFmtId="170" fontId="2" fillId="18" borderId="47" xfId="63" applyNumberFormat="1" applyFont="1" applyFill="1" applyBorder="1" applyAlignment="1" applyProtection="1">
      <alignment horizontal="center" vertical="center"/>
    </xf>
    <xf numFmtId="170" fontId="2" fillId="18" borderId="61" xfId="63" applyNumberFormat="1" applyFont="1" applyFill="1" applyBorder="1" applyAlignment="1" applyProtection="1">
      <alignment horizontal="center" vertical="center"/>
    </xf>
    <xf numFmtId="164" fontId="2" fillId="18" borderId="61" xfId="72" applyNumberFormat="1" applyFont="1" applyFill="1" applyBorder="1" applyAlignment="1" applyProtection="1">
      <alignment horizontal="center" vertical="center"/>
    </xf>
    <xf numFmtId="0" fontId="30" fillId="0" borderId="47" xfId="63" applyFont="1" applyBorder="1" applyAlignment="1" applyProtection="1">
      <alignment horizontal="left" indent="1"/>
    </xf>
    <xf numFmtId="170" fontId="30" fillId="18" borderId="34" xfId="63" applyNumberFormat="1" applyFont="1" applyFill="1" applyBorder="1" applyAlignment="1" applyProtection="1">
      <alignment horizontal="center" vertical="center"/>
    </xf>
    <xf numFmtId="170" fontId="30" fillId="18" borderId="39" xfId="63" applyNumberFormat="1" applyFont="1" applyFill="1" applyBorder="1" applyAlignment="1" applyProtection="1">
      <alignment horizontal="center" vertical="center"/>
    </xf>
    <xf numFmtId="170" fontId="30" fillId="18" borderId="36" xfId="63" applyNumberFormat="1" applyFont="1" applyFill="1" applyBorder="1" applyAlignment="1" applyProtection="1">
      <alignment horizontal="center" vertical="center"/>
    </xf>
    <xf numFmtId="170" fontId="30" fillId="18" borderId="35" xfId="63" applyNumberFormat="1" applyFont="1" applyFill="1" applyBorder="1" applyAlignment="1" applyProtection="1">
      <alignment horizontal="center" vertical="center"/>
    </xf>
    <xf numFmtId="0" fontId="46" fillId="0" borderId="0" xfId="0" applyFont="1" applyProtection="1"/>
    <xf numFmtId="164" fontId="30" fillId="18" borderId="39" xfId="72" applyNumberFormat="1" applyFont="1" applyFill="1" applyBorder="1" applyAlignment="1" applyProtection="1">
      <alignment horizontal="center" vertical="center"/>
    </xf>
    <xf numFmtId="0" fontId="47" fillId="21" borderId="0" xfId="0" applyFont="1" applyFill="1" applyBorder="1" applyAlignment="1" applyProtection="1"/>
    <xf numFmtId="0" fontId="40" fillId="21" borderId="0" xfId="0" applyFont="1" applyFill="1" applyBorder="1" applyAlignment="1" applyProtection="1"/>
    <xf numFmtId="0" fontId="40" fillId="21" borderId="31" xfId="0" applyFont="1" applyFill="1" applyBorder="1" applyAlignment="1" applyProtection="1">
      <alignment horizontal="left"/>
    </xf>
    <xf numFmtId="0" fontId="47" fillId="21" borderId="31" xfId="0" applyFont="1" applyFill="1" applyBorder="1" applyAlignment="1" applyProtection="1"/>
    <xf numFmtId="0" fontId="30" fillId="0" borderId="0" xfId="0" applyFont="1" applyFill="1" applyBorder="1" applyAlignment="1" applyProtection="1">
      <alignment horizontal="left"/>
    </xf>
    <xf numFmtId="0" fontId="45" fillId="0" borderId="0" xfId="0" applyFont="1" applyFill="1" applyBorder="1" applyAlignment="1" applyProtection="1"/>
    <xf numFmtId="0" fontId="30" fillId="0" borderId="0" xfId="0" applyFont="1" applyFill="1" applyBorder="1" applyAlignment="1" applyProtection="1">
      <alignment horizontal="left" vertical="center"/>
    </xf>
    <xf numFmtId="0" fontId="30" fillId="0" borderId="0" xfId="69" applyFont="1" applyFill="1" applyBorder="1" applyAlignment="1" applyProtection="1">
      <alignment horizontal="left" vertical="center"/>
    </xf>
    <xf numFmtId="0" fontId="45" fillId="0" borderId="0" xfId="0" applyFont="1" applyFill="1" applyBorder="1" applyAlignment="1" applyProtection="1">
      <alignment vertical="center"/>
    </xf>
    <xf numFmtId="0" fontId="45" fillId="0" borderId="0" xfId="0" applyFont="1" applyAlignment="1" applyProtection="1">
      <alignment vertical="center"/>
    </xf>
    <xf numFmtId="0" fontId="2" fillId="0" borderId="0" xfId="73" applyFont="1" applyAlignment="1" applyProtection="1">
      <alignment vertical="center"/>
    </xf>
    <xf numFmtId="0" fontId="2" fillId="0" borderId="0" xfId="70" applyFont="1" applyAlignment="1" applyProtection="1">
      <alignment vertical="center"/>
    </xf>
    <xf numFmtId="1" fontId="2" fillId="0" borderId="0" xfId="70" applyNumberFormat="1" applyFont="1" applyAlignment="1" applyProtection="1">
      <alignment vertical="center"/>
    </xf>
    <xf numFmtId="1" fontId="30" fillId="0" borderId="52" xfId="70" applyNumberFormat="1" applyFont="1" applyBorder="1" applyAlignment="1" applyProtection="1">
      <alignment horizontal="centerContinuous" vertical="center"/>
    </xf>
    <xf numFmtId="1" fontId="30" fillId="0" borderId="53" xfId="70" applyNumberFormat="1" applyFont="1" applyBorder="1" applyAlignment="1" applyProtection="1">
      <alignment horizontal="centerContinuous" vertical="center"/>
    </xf>
    <xf numFmtId="1" fontId="30" fillId="0" borderId="54" xfId="70" applyNumberFormat="1" applyFont="1" applyBorder="1" applyAlignment="1" applyProtection="1">
      <alignment horizontal="centerContinuous" vertical="center"/>
    </xf>
    <xf numFmtId="0" fontId="30" fillId="0" borderId="46" xfId="69" applyFont="1" applyFill="1" applyBorder="1" applyAlignment="1" applyProtection="1">
      <alignment horizontal="center" vertical="center"/>
    </xf>
    <xf numFmtId="0" fontId="30" fillId="0" borderId="47" xfId="69" applyFont="1" applyFill="1" applyBorder="1" applyAlignment="1" applyProtection="1">
      <alignment horizontal="center" vertical="center"/>
    </xf>
    <xf numFmtId="0" fontId="30" fillId="0" borderId="61" xfId="69" applyFont="1" applyFill="1" applyBorder="1" applyAlignment="1" applyProtection="1">
      <alignment horizontal="center" vertical="center"/>
    </xf>
    <xf numFmtId="0" fontId="30" fillId="0" borderId="12" xfId="69" applyFont="1" applyFill="1" applyBorder="1" applyAlignment="1" applyProtection="1">
      <alignment horizontal="center" vertical="center"/>
    </xf>
    <xf numFmtId="0" fontId="2" fillId="0" borderId="64" xfId="63" applyFont="1" applyBorder="1" applyAlignment="1" applyProtection="1">
      <alignment horizontal="center" vertical="center"/>
    </xf>
    <xf numFmtId="0" fontId="2" fillId="0" borderId="19" xfId="63" applyFont="1" applyBorder="1" applyAlignment="1" applyProtection="1">
      <alignment horizontal="center" vertical="center"/>
    </xf>
    <xf numFmtId="0" fontId="2" fillId="0" borderId="65" xfId="63" applyFont="1" applyBorder="1" applyAlignment="1" applyProtection="1">
      <alignment horizontal="center" vertical="center"/>
    </xf>
    <xf numFmtId="0" fontId="2" fillId="0" borderId="64" xfId="63" applyFont="1" applyFill="1" applyBorder="1" applyAlignment="1" applyProtection="1">
      <alignment horizontal="center" vertical="center"/>
    </xf>
    <xf numFmtId="0" fontId="2" fillId="0" borderId="65" xfId="63" applyFont="1" applyFill="1" applyBorder="1" applyAlignment="1" applyProtection="1">
      <alignment horizontal="center" vertical="center"/>
    </xf>
    <xf numFmtId="0" fontId="2" fillId="0" borderId="59" xfId="74" applyFont="1" applyFill="1" applyBorder="1" applyAlignment="1" applyProtection="1">
      <alignment vertical="center"/>
    </xf>
    <xf numFmtId="170" fontId="48" fillId="0" borderId="58" xfId="69" applyNumberFormat="1" applyFont="1" applyFill="1" applyBorder="1" applyAlignment="1" applyProtection="1">
      <alignment horizontal="center" vertical="center"/>
    </xf>
    <xf numFmtId="170" fontId="48" fillId="0" borderId="60" xfId="69" applyNumberFormat="1" applyFont="1" applyFill="1" applyBorder="1" applyAlignment="1" applyProtection="1">
      <alignment horizontal="center" vertical="center"/>
    </xf>
    <xf numFmtId="170" fontId="48" fillId="0" borderId="59" xfId="69" applyNumberFormat="1" applyFont="1" applyFill="1" applyBorder="1" applyAlignment="1" applyProtection="1">
      <alignment horizontal="center" vertical="center"/>
    </xf>
    <xf numFmtId="0" fontId="2" fillId="0" borderId="61" xfId="74" applyFont="1" applyFill="1" applyBorder="1" applyAlignment="1" applyProtection="1">
      <alignment vertical="center"/>
    </xf>
    <xf numFmtId="170" fontId="48" fillId="0" borderId="46" xfId="69" applyNumberFormat="1" applyFont="1" applyFill="1" applyBorder="1" applyAlignment="1" applyProtection="1">
      <alignment horizontal="center" vertical="center"/>
    </xf>
    <xf numFmtId="170" fontId="48" fillId="0" borderId="47" xfId="69" applyNumberFormat="1" applyFont="1" applyFill="1" applyBorder="1" applyAlignment="1" applyProtection="1">
      <alignment horizontal="center" vertical="center"/>
    </xf>
    <xf numFmtId="170" fontId="48" fillId="0" borderId="61" xfId="69" applyNumberFormat="1" applyFont="1" applyFill="1" applyBorder="1" applyAlignment="1" applyProtection="1">
      <alignment horizontal="center" vertical="center"/>
    </xf>
    <xf numFmtId="0" fontId="2" fillId="0" borderId="61" xfId="74" applyFont="1" applyBorder="1" applyAlignment="1" applyProtection="1">
      <alignment vertical="center"/>
    </xf>
    <xf numFmtId="0" fontId="30" fillId="0" borderId="78" xfId="74" applyFont="1" applyBorder="1" applyAlignment="1" applyProtection="1">
      <alignment vertical="center"/>
    </xf>
    <xf numFmtId="0" fontId="30" fillId="0" borderId="72" xfId="74" applyFont="1" applyBorder="1" applyAlignment="1" applyProtection="1">
      <alignment vertical="center"/>
    </xf>
    <xf numFmtId="170" fontId="46" fillId="18" borderId="36" xfId="69" applyNumberFormat="1" applyFont="1" applyFill="1" applyBorder="1" applyAlignment="1" applyProtection="1">
      <alignment horizontal="center" vertical="center"/>
    </xf>
    <xf numFmtId="170" fontId="46" fillId="18" borderId="35" xfId="69" applyNumberFormat="1" applyFont="1" applyFill="1" applyBorder="1" applyAlignment="1" applyProtection="1">
      <alignment horizontal="center" vertical="center"/>
    </xf>
    <xf numFmtId="170" fontId="46" fillId="18" borderId="39" xfId="69" applyNumberFormat="1" applyFont="1" applyFill="1" applyBorder="1" applyAlignment="1" applyProtection="1">
      <alignment horizontal="center" vertical="center"/>
    </xf>
    <xf numFmtId="170" fontId="2" fillId="18" borderId="36" xfId="63" applyNumberFormat="1" applyFont="1" applyFill="1" applyBorder="1" applyAlignment="1" applyProtection="1">
      <alignment horizontal="center" vertical="center"/>
    </xf>
    <xf numFmtId="170" fontId="2" fillId="18" borderId="35" xfId="63" applyNumberFormat="1" applyFont="1" applyFill="1" applyBorder="1" applyAlignment="1" applyProtection="1">
      <alignment horizontal="center" vertical="center"/>
    </xf>
    <xf numFmtId="170" fontId="2" fillId="18" borderId="39" xfId="63" applyNumberFormat="1" applyFont="1" applyFill="1" applyBorder="1" applyAlignment="1" applyProtection="1">
      <alignment horizontal="center" vertical="center"/>
    </xf>
    <xf numFmtId="0" fontId="30" fillId="0" borderId="0" xfId="74" applyFont="1" applyBorder="1" applyAlignment="1" applyProtection="1">
      <alignment vertical="center"/>
    </xf>
    <xf numFmtId="0" fontId="45" fillId="0" borderId="0" xfId="69" applyFont="1" applyFill="1" applyBorder="1" applyAlignment="1" applyProtection="1">
      <alignment horizontal="center" vertical="center"/>
    </xf>
    <xf numFmtId="170" fontId="49" fillId="19" borderId="20" xfId="69" applyNumberFormat="1" applyFont="1" applyFill="1" applyBorder="1" applyAlignment="1" applyProtection="1">
      <alignment horizontal="center" vertical="center"/>
      <protection locked="0"/>
    </xf>
    <xf numFmtId="170" fontId="49" fillId="19" borderId="65" xfId="69" applyNumberFormat="1" applyFont="1" applyFill="1" applyBorder="1" applyAlignment="1" applyProtection="1">
      <alignment horizontal="center" vertical="center"/>
      <protection locked="0"/>
    </xf>
    <xf numFmtId="170" fontId="49" fillId="19" borderId="58" xfId="69" applyNumberFormat="1" applyFont="1" applyFill="1" applyBorder="1" applyAlignment="1" applyProtection="1">
      <alignment horizontal="center" vertical="center"/>
      <protection locked="0"/>
    </xf>
    <xf numFmtId="170" fontId="49" fillId="19" borderId="60" xfId="69" applyNumberFormat="1" applyFont="1" applyFill="1" applyBorder="1" applyAlignment="1" applyProtection="1">
      <alignment horizontal="center" vertical="center"/>
      <protection locked="0"/>
    </xf>
    <xf numFmtId="170" fontId="49" fillId="19" borderId="59" xfId="69" applyNumberFormat="1" applyFont="1" applyFill="1" applyBorder="1" applyAlignment="1" applyProtection="1">
      <alignment horizontal="center" vertical="center"/>
      <protection locked="0"/>
    </xf>
    <xf numFmtId="170" fontId="49" fillId="19" borderId="12" xfId="69" applyNumberFormat="1" applyFont="1" applyFill="1" applyBorder="1" applyAlignment="1" applyProtection="1">
      <alignment horizontal="center" vertical="center"/>
      <protection locked="0"/>
    </xf>
    <xf numFmtId="170" fontId="49" fillId="19" borderId="40" xfId="69" applyNumberFormat="1" applyFont="1" applyFill="1" applyBorder="1" applyAlignment="1" applyProtection="1">
      <alignment horizontal="center" vertical="center"/>
      <protection locked="0"/>
    </xf>
    <xf numFmtId="170" fontId="49" fillId="19" borderId="46" xfId="69" applyNumberFormat="1" applyFont="1" applyFill="1" applyBorder="1" applyAlignment="1" applyProtection="1">
      <alignment horizontal="center" vertical="center"/>
      <protection locked="0"/>
    </xf>
    <xf numFmtId="170" fontId="49" fillId="19" borderId="47" xfId="69" applyNumberFormat="1" applyFont="1" applyFill="1" applyBorder="1" applyAlignment="1" applyProtection="1">
      <alignment horizontal="center" vertical="center"/>
      <protection locked="0"/>
    </xf>
    <xf numFmtId="170" fontId="49" fillId="19" borderId="61" xfId="69" applyNumberFormat="1" applyFont="1" applyFill="1" applyBorder="1" applyAlignment="1" applyProtection="1">
      <alignment horizontal="center" vertical="center"/>
      <protection locked="0"/>
    </xf>
    <xf numFmtId="170" fontId="31" fillId="0" borderId="12" xfId="69" applyNumberFormat="1" applyFont="1" applyFill="1" applyBorder="1" applyAlignment="1" applyProtection="1">
      <alignment horizontal="center" vertical="center"/>
    </xf>
    <xf numFmtId="170" fontId="31" fillId="0" borderId="47" xfId="69" applyNumberFormat="1" applyFont="1" applyFill="1" applyBorder="1" applyAlignment="1" applyProtection="1">
      <alignment horizontal="center" vertical="center"/>
    </xf>
    <xf numFmtId="170" fontId="31" fillId="0" borderId="61" xfId="69" applyNumberFormat="1" applyFont="1" applyFill="1" applyBorder="1" applyAlignment="1" applyProtection="1">
      <alignment horizontal="center" vertical="center"/>
    </xf>
    <xf numFmtId="170" fontId="31" fillId="0" borderId="46" xfId="69" applyNumberFormat="1" applyFont="1" applyFill="1" applyBorder="1" applyAlignment="1" applyProtection="1">
      <alignment horizontal="center" vertical="center"/>
    </xf>
    <xf numFmtId="0" fontId="2" fillId="0" borderId="0" xfId="69" applyFont="1" applyFill="1" applyBorder="1" applyAlignment="1" applyProtection="1">
      <alignment horizontal="left" vertical="center"/>
      <protection locked="0"/>
    </xf>
    <xf numFmtId="0" fontId="2" fillId="0" borderId="69" xfId="74" applyFont="1" applyBorder="1" applyAlignment="1" applyProtection="1">
      <alignment vertical="center"/>
    </xf>
    <xf numFmtId="170" fontId="49" fillId="19" borderId="15" xfId="69" applyNumberFormat="1" applyFont="1" applyFill="1" applyBorder="1" applyAlignment="1" applyProtection="1">
      <alignment horizontal="center" vertical="center"/>
      <protection locked="0"/>
    </xf>
    <xf numFmtId="170" fontId="49" fillId="19" borderId="70" xfId="69" applyNumberFormat="1" applyFont="1" applyFill="1" applyBorder="1" applyAlignment="1" applyProtection="1">
      <alignment horizontal="center" vertical="center"/>
      <protection locked="0"/>
    </xf>
    <xf numFmtId="170" fontId="49" fillId="19" borderId="69" xfId="69" applyNumberFormat="1" applyFont="1" applyFill="1" applyBorder="1" applyAlignment="1" applyProtection="1">
      <alignment horizontal="center" vertical="center"/>
      <protection locked="0"/>
    </xf>
    <xf numFmtId="170" fontId="49" fillId="19" borderId="68" xfId="69" applyNumberFormat="1" applyFont="1" applyFill="1" applyBorder="1" applyAlignment="1" applyProtection="1">
      <alignment horizontal="center" vertical="center"/>
      <protection locked="0"/>
    </xf>
    <xf numFmtId="0" fontId="30" fillId="0" borderId="76" xfId="74" applyFont="1" applyBorder="1" applyAlignment="1" applyProtection="1">
      <alignment vertical="center"/>
    </xf>
    <xf numFmtId="0" fontId="30" fillId="0" borderId="26" xfId="74" applyFont="1" applyBorder="1" applyAlignment="1" applyProtection="1">
      <alignment vertical="center"/>
    </xf>
    <xf numFmtId="170" fontId="30" fillId="18" borderId="81" xfId="69" applyNumberFormat="1" applyFont="1" applyFill="1" applyBorder="1" applyAlignment="1" applyProtection="1">
      <alignment horizontal="center" vertical="center"/>
    </xf>
    <xf numFmtId="170" fontId="30" fillId="18" borderId="82" xfId="69" applyNumberFormat="1" applyFont="1" applyFill="1" applyBorder="1" applyAlignment="1" applyProtection="1">
      <alignment horizontal="center" vertical="center"/>
    </xf>
    <xf numFmtId="170" fontId="30" fillId="18" borderId="83" xfId="69" applyNumberFormat="1" applyFont="1" applyFill="1" applyBorder="1" applyAlignment="1" applyProtection="1">
      <alignment horizontal="center" vertical="center"/>
    </xf>
    <xf numFmtId="170" fontId="30" fillId="18" borderId="84" xfId="69" applyNumberFormat="1" applyFont="1" applyFill="1" applyBorder="1" applyAlignment="1" applyProtection="1">
      <alignment horizontal="center" vertical="center"/>
    </xf>
    <xf numFmtId="170" fontId="30" fillId="18" borderId="34" xfId="69" applyNumberFormat="1" applyFont="1" applyFill="1" applyBorder="1" applyAlignment="1" applyProtection="1">
      <alignment horizontal="center" vertical="center"/>
    </xf>
    <xf numFmtId="170" fontId="30" fillId="18" borderId="35" xfId="69" applyNumberFormat="1" applyFont="1" applyFill="1" applyBorder="1" applyAlignment="1" applyProtection="1">
      <alignment horizontal="center" vertical="center"/>
    </xf>
    <xf numFmtId="170" fontId="30" fillId="18" borderId="39" xfId="69" applyNumberFormat="1" applyFont="1" applyFill="1" applyBorder="1" applyAlignment="1" applyProtection="1">
      <alignment horizontal="center" vertical="center"/>
    </xf>
    <xf numFmtId="170" fontId="30" fillId="18" borderId="36" xfId="69" applyNumberFormat="1" applyFont="1" applyFill="1" applyBorder="1" applyAlignment="1" applyProtection="1">
      <alignment horizontal="center" vertical="center"/>
    </xf>
    <xf numFmtId="0" fontId="2" fillId="0" borderId="61" xfId="69" applyFont="1" applyFill="1" applyBorder="1" applyAlignment="1" applyProtection="1">
      <alignment horizontal="left" vertical="center"/>
    </xf>
    <xf numFmtId="164" fontId="2" fillId="18" borderId="61" xfId="75" applyNumberFormat="1" applyFont="1" applyFill="1" applyBorder="1" applyAlignment="1" applyProtection="1">
      <alignment horizontal="center" vertical="center"/>
    </xf>
    <xf numFmtId="1" fontId="2" fillId="0" borderId="61" xfId="70" applyNumberFormat="1" applyFont="1" applyBorder="1" applyAlignment="1" applyProtection="1">
      <alignment vertical="center"/>
    </xf>
    <xf numFmtId="170" fontId="31" fillId="18" borderId="12" xfId="69" applyNumberFormat="1" applyFont="1" applyFill="1" applyBorder="1" applyAlignment="1" applyProtection="1">
      <alignment horizontal="center" vertical="center"/>
    </xf>
    <xf numFmtId="170" fontId="31" fillId="18" borderId="40" xfId="69" applyNumberFormat="1" applyFont="1" applyFill="1" applyBorder="1" applyAlignment="1" applyProtection="1">
      <alignment horizontal="center" vertical="center"/>
    </xf>
    <xf numFmtId="170" fontId="31" fillId="18" borderId="46" xfId="69" applyNumberFormat="1" applyFont="1" applyFill="1" applyBorder="1" applyAlignment="1" applyProtection="1">
      <alignment horizontal="center" vertical="center"/>
    </xf>
    <xf numFmtId="0" fontId="30" fillId="0" borderId="46" xfId="69" applyFont="1" applyFill="1" applyBorder="1" applyAlignment="1" applyProtection="1">
      <alignment vertical="center"/>
    </xf>
    <xf numFmtId="0" fontId="46" fillId="0" borderId="36" xfId="0" applyFont="1" applyBorder="1" applyAlignment="1" applyProtection="1">
      <alignment vertical="center"/>
    </xf>
    <xf numFmtId="1" fontId="2" fillId="0" borderId="39" xfId="70" applyNumberFormat="1" applyFont="1" applyBorder="1" applyAlignment="1" applyProtection="1">
      <alignment vertical="center"/>
    </xf>
    <xf numFmtId="170" fontId="2" fillId="18" borderId="34" xfId="69" applyNumberFormat="1" applyFont="1" applyFill="1" applyBorder="1" applyAlignment="1" applyProtection="1">
      <alignment horizontal="center" vertical="center"/>
    </xf>
    <xf numFmtId="170" fontId="2" fillId="18" borderId="72" xfId="69" applyNumberFormat="1" applyFont="1" applyFill="1" applyBorder="1" applyAlignment="1" applyProtection="1">
      <alignment horizontal="center" vertical="center"/>
    </xf>
    <xf numFmtId="164" fontId="2" fillId="18" borderId="39" xfId="75" applyNumberFormat="1" applyFont="1" applyFill="1" applyBorder="1" applyAlignment="1" applyProtection="1">
      <alignment horizontal="center" vertical="center"/>
    </xf>
    <xf numFmtId="0" fontId="30" fillId="0" borderId="27" xfId="62" applyFont="1" applyBorder="1" applyAlignment="1" applyProtection="1">
      <alignment vertical="center"/>
    </xf>
    <xf numFmtId="0" fontId="30" fillId="0" borderId="28" xfId="62" applyFont="1" applyBorder="1" applyAlignment="1" applyProtection="1">
      <alignment vertical="center"/>
    </xf>
    <xf numFmtId="1" fontId="2" fillId="0" borderId="27" xfId="70" applyNumberFormat="1" applyFont="1" applyBorder="1" applyAlignment="1" applyProtection="1">
      <alignment vertical="center"/>
    </xf>
    <xf numFmtId="0" fontId="2" fillId="0" borderId="28" xfId="69" applyFont="1" applyFill="1" applyBorder="1" applyAlignment="1" applyProtection="1">
      <alignment horizontal="left" vertical="center"/>
    </xf>
    <xf numFmtId="0" fontId="2" fillId="0" borderId="27" xfId="69" applyFont="1" applyFill="1" applyBorder="1" applyAlignment="1" applyProtection="1">
      <alignment horizontal="left" vertical="center"/>
    </xf>
    <xf numFmtId="1" fontId="2" fillId="0" borderId="28" xfId="70" applyNumberFormat="1" applyFont="1" applyBorder="1" applyAlignment="1" applyProtection="1">
      <alignment vertical="center"/>
    </xf>
    <xf numFmtId="0" fontId="2" fillId="0" borderId="28" xfId="62" applyFont="1" applyBorder="1" applyAlignment="1" applyProtection="1">
      <alignment horizontal="left" vertical="center"/>
    </xf>
    <xf numFmtId="170" fontId="2" fillId="0" borderId="46" xfId="69" applyNumberFormat="1" applyFont="1" applyFill="1" applyBorder="1" applyAlignment="1" applyProtection="1">
      <alignment horizontal="center" vertical="center"/>
      <protection locked="0"/>
    </xf>
    <xf numFmtId="170" fontId="2" fillId="0" borderId="47" xfId="69" applyNumberFormat="1" applyFont="1" applyFill="1" applyBorder="1" applyAlignment="1" applyProtection="1">
      <alignment horizontal="center" vertical="center"/>
      <protection locked="0"/>
    </xf>
    <xf numFmtId="170" fontId="2" fillId="0" borderId="61" xfId="69" applyNumberFormat="1" applyFont="1" applyFill="1" applyBorder="1" applyAlignment="1" applyProtection="1">
      <alignment horizontal="center" vertical="center"/>
      <protection locked="0"/>
    </xf>
    <xf numFmtId="0" fontId="50" fillId="19" borderId="28" xfId="62" applyFont="1" applyFill="1" applyBorder="1" applyAlignment="1" applyProtection="1">
      <alignment horizontal="left" vertical="center"/>
    </xf>
    <xf numFmtId="170" fontId="2" fillId="0" borderId="46" xfId="63" applyNumberFormat="1" applyFont="1" applyFill="1" applyBorder="1" applyAlignment="1" applyProtection="1">
      <alignment horizontal="center" vertical="center"/>
    </xf>
    <xf numFmtId="170" fontId="2" fillId="0" borderId="47" xfId="63" applyNumberFormat="1" applyFont="1" applyFill="1" applyBorder="1" applyAlignment="1" applyProtection="1">
      <alignment horizontal="center" vertical="center"/>
    </xf>
    <xf numFmtId="170" fontId="2" fillId="0" borderId="61" xfId="63" applyNumberFormat="1" applyFont="1" applyFill="1" applyBorder="1" applyAlignment="1" applyProtection="1">
      <alignment horizontal="center" vertical="center"/>
    </xf>
    <xf numFmtId="0" fontId="45" fillId="0" borderId="0" xfId="0" applyFont="1" applyFill="1" applyAlignment="1" applyProtection="1">
      <alignment vertical="center"/>
    </xf>
    <xf numFmtId="164" fontId="2" fillId="0" borderId="61" xfId="75" applyNumberFormat="1" applyFont="1" applyFill="1" applyBorder="1" applyAlignment="1" applyProtection="1">
      <alignment horizontal="center" vertical="center"/>
    </xf>
    <xf numFmtId="0" fontId="2" fillId="0" borderId="30" xfId="69" applyFont="1" applyFill="1" applyBorder="1" applyAlignment="1" applyProtection="1">
      <alignment horizontal="left" vertical="center"/>
    </xf>
    <xf numFmtId="0" fontId="50" fillId="19" borderId="32" xfId="62" applyFont="1" applyFill="1" applyBorder="1" applyAlignment="1" applyProtection="1">
      <alignment horizontal="left" vertical="center"/>
    </xf>
    <xf numFmtId="170" fontId="35" fillId="19" borderId="39" xfId="69" applyNumberFormat="1" applyFont="1" applyFill="1" applyBorder="1" applyAlignment="1" applyProtection="1">
      <alignment horizontal="center" vertical="center"/>
      <protection locked="0"/>
    </xf>
    <xf numFmtId="0" fontId="2" fillId="0" borderId="0" xfId="73" applyFont="1" applyProtection="1"/>
    <xf numFmtId="1" fontId="2" fillId="0" borderId="0" xfId="70" applyNumberFormat="1" applyFont="1" applyProtection="1"/>
    <xf numFmtId="0" fontId="26" fillId="0" borderId="0" xfId="73" applyFont="1" applyProtection="1"/>
    <xf numFmtId="0" fontId="26" fillId="0" borderId="0" xfId="69" applyFont="1" applyFill="1" applyBorder="1" applyAlignment="1" applyProtection="1">
      <alignment horizontal="left" vertical="center"/>
    </xf>
    <xf numFmtId="1" fontId="26" fillId="0" borderId="0" xfId="70" applyNumberFormat="1" applyFont="1" applyProtection="1"/>
    <xf numFmtId="0" fontId="26" fillId="0" borderId="0" xfId="70" applyFont="1" applyProtection="1"/>
    <xf numFmtId="0" fontId="38" fillId="21" borderId="0" xfId="76" applyFont="1" applyFill="1" applyBorder="1" applyAlignment="1" applyProtection="1"/>
    <xf numFmtId="0" fontId="40" fillId="21" borderId="0" xfId="77" applyFont="1" applyFill="1" applyBorder="1" applyAlignment="1" applyProtection="1"/>
    <xf numFmtId="0" fontId="26" fillId="21" borderId="0" xfId="77" applyFont="1" applyFill="1" applyBorder="1" applyAlignment="1" applyProtection="1"/>
    <xf numFmtId="0" fontId="51" fillId="21" borderId="0" xfId="77" applyFont="1" applyFill="1" applyBorder="1" applyAlignment="1" applyProtection="1"/>
    <xf numFmtId="0" fontId="2" fillId="21" borderId="0" xfId="77" applyFont="1" applyFill="1" applyBorder="1" applyAlignment="1" applyProtection="1"/>
    <xf numFmtId="0" fontId="40" fillId="21" borderId="0" xfId="77" applyFont="1" applyFill="1" applyBorder="1" applyAlignment="1" applyProtection="1">
      <alignment horizontal="left"/>
    </xf>
    <xf numFmtId="0" fontId="40" fillId="21" borderId="31" xfId="77" applyFont="1" applyFill="1" applyBorder="1" applyAlignment="1" applyProtection="1"/>
    <xf numFmtId="0" fontId="51" fillId="21" borderId="31" xfId="77" applyFont="1" applyFill="1" applyBorder="1" applyAlignment="1" applyProtection="1">
      <alignment horizontal="left"/>
    </xf>
    <xf numFmtId="0" fontId="2" fillId="21" borderId="31" xfId="77" applyFont="1" applyFill="1" applyBorder="1" applyAlignment="1" applyProtection="1"/>
    <xf numFmtId="0" fontId="2" fillId="21" borderId="31" xfId="77" applyFont="1" applyFill="1" applyBorder="1" applyProtection="1"/>
    <xf numFmtId="0" fontId="2" fillId="0" borderId="0" xfId="77" applyFont="1" applyAlignment="1" applyProtection="1">
      <alignment vertical="center"/>
    </xf>
    <xf numFmtId="0" fontId="30" fillId="0" borderId="0" xfId="77" applyFont="1" applyAlignment="1" applyProtection="1">
      <alignment vertical="center"/>
    </xf>
    <xf numFmtId="0" fontId="30" fillId="0" borderId="52" xfId="78" applyFont="1" applyBorder="1" applyAlignment="1" applyProtection="1">
      <alignment horizontal="centerContinuous" vertical="center"/>
    </xf>
    <xf numFmtId="0" fontId="30" fillId="0" borderId="53" xfId="78" applyFont="1" applyBorder="1" applyAlignment="1" applyProtection="1">
      <alignment horizontal="centerContinuous" vertical="center"/>
    </xf>
    <xf numFmtId="0" fontId="2" fillId="0" borderId="54" xfId="78" applyFont="1" applyBorder="1" applyAlignment="1" applyProtection="1">
      <alignment horizontal="centerContinuous" vertical="center"/>
    </xf>
    <xf numFmtId="0" fontId="2" fillId="0" borderId="53" xfId="78" applyFont="1" applyBorder="1" applyAlignment="1" applyProtection="1">
      <alignment horizontal="centerContinuous" vertical="center"/>
    </xf>
    <xf numFmtId="0" fontId="30" fillId="0" borderId="46" xfId="78" applyFont="1" applyBorder="1" applyAlignment="1" applyProtection="1">
      <alignment horizontal="center" vertical="center" wrapText="1"/>
    </xf>
    <xf numFmtId="0" fontId="30" fillId="0" borderId="47" xfId="78" applyFont="1" applyBorder="1" applyAlignment="1" applyProtection="1">
      <alignment horizontal="center" vertical="center" wrapText="1"/>
    </xf>
    <xf numFmtId="0" fontId="30" fillId="0" borderId="61" xfId="78" applyFont="1" applyBorder="1" applyAlignment="1" applyProtection="1">
      <alignment horizontal="center" vertical="center" wrapText="1"/>
    </xf>
    <xf numFmtId="0" fontId="30" fillId="0" borderId="46" xfId="77" applyFont="1" applyBorder="1" applyAlignment="1" applyProtection="1">
      <alignment horizontal="left" vertical="center" wrapText="1"/>
    </xf>
    <xf numFmtId="0" fontId="2" fillId="0" borderId="61" xfId="77" applyNumberFormat="1" applyFont="1" applyBorder="1" applyAlignment="1" applyProtection="1">
      <alignment vertical="center" wrapText="1"/>
    </xf>
    <xf numFmtId="170" fontId="45" fillId="0" borderId="71" xfId="79" applyNumberFormat="1" applyFont="1" applyFill="1" applyBorder="1" applyAlignment="1" applyProtection="1">
      <alignment horizontal="center" vertical="center"/>
    </xf>
    <xf numFmtId="170" fontId="45" fillId="0" borderId="11" xfId="79" applyNumberFormat="1" applyFont="1" applyFill="1" applyBorder="1" applyAlignment="1" applyProtection="1">
      <alignment horizontal="center" vertical="center"/>
    </xf>
    <xf numFmtId="170" fontId="45" fillId="0" borderId="40" xfId="79" applyNumberFormat="1" applyFont="1" applyFill="1" applyBorder="1" applyAlignment="1" applyProtection="1">
      <alignment horizontal="center" vertical="center"/>
    </xf>
    <xf numFmtId="0" fontId="2" fillId="0" borderId="46" xfId="77" applyFont="1" applyBorder="1" applyAlignment="1" applyProtection="1">
      <alignment horizontal="left" vertical="center" wrapText="1"/>
    </xf>
    <xf numFmtId="170" fontId="45" fillId="0" borderId="46" xfId="79" applyNumberFormat="1" applyFont="1" applyFill="1" applyBorder="1" applyAlignment="1" applyProtection="1">
      <alignment horizontal="center" vertical="center"/>
    </xf>
    <xf numFmtId="170" fontId="45" fillId="0" borderId="12" xfId="79" applyNumberFormat="1" applyFont="1" applyFill="1" applyBorder="1" applyAlignment="1" applyProtection="1">
      <alignment horizontal="center" vertical="center"/>
    </xf>
    <xf numFmtId="170" fontId="45" fillId="0" borderId="47" xfId="79" applyNumberFormat="1" applyFont="1" applyFill="1" applyBorder="1" applyAlignment="1" applyProtection="1">
      <alignment horizontal="center" vertical="center"/>
    </xf>
    <xf numFmtId="170" fontId="45" fillId="0" borderId="61" xfId="79" applyNumberFormat="1" applyFont="1" applyFill="1" applyBorder="1" applyAlignment="1" applyProtection="1">
      <alignment horizontal="center" vertical="center"/>
    </xf>
    <xf numFmtId="170" fontId="35" fillId="19" borderId="12" xfId="79" applyNumberFormat="1" applyFont="1" applyFill="1" applyBorder="1" applyAlignment="1" applyProtection="1">
      <alignment horizontal="center" vertical="center"/>
      <protection locked="0"/>
    </xf>
    <xf numFmtId="170" fontId="35" fillId="19" borderId="40" xfId="79" applyNumberFormat="1" applyFont="1" applyFill="1" applyBorder="1" applyAlignment="1" applyProtection="1">
      <alignment horizontal="center" vertical="center"/>
      <protection locked="0"/>
    </xf>
    <xf numFmtId="170" fontId="35" fillId="19" borderId="46" xfId="79" applyNumberFormat="1" applyFont="1" applyFill="1" applyBorder="1" applyAlignment="1" applyProtection="1">
      <alignment horizontal="center" vertical="center"/>
      <protection locked="0"/>
    </xf>
    <xf numFmtId="170" fontId="35" fillId="19" borderId="47" xfId="79" applyNumberFormat="1" applyFont="1" applyFill="1" applyBorder="1" applyAlignment="1" applyProtection="1">
      <alignment horizontal="center" vertical="center"/>
      <protection locked="0"/>
    </xf>
    <xf numFmtId="170" fontId="35" fillId="19" borderId="61" xfId="79" applyNumberFormat="1" applyFont="1" applyFill="1" applyBorder="1" applyAlignment="1" applyProtection="1">
      <alignment horizontal="center" vertical="center"/>
      <protection locked="0"/>
    </xf>
    <xf numFmtId="0" fontId="35" fillId="19" borderId="46" xfId="77" applyFont="1" applyFill="1" applyBorder="1" applyAlignment="1" applyProtection="1">
      <alignment horizontal="left" vertical="center" wrapText="1"/>
      <protection locked="0"/>
    </xf>
    <xf numFmtId="0" fontId="2" fillId="0" borderId="61" xfId="77" applyNumberFormat="1" applyFont="1" applyBorder="1" applyAlignment="1" applyProtection="1">
      <alignment vertical="center" wrapText="1"/>
      <protection locked="0"/>
    </xf>
    <xf numFmtId="0" fontId="2" fillId="0" borderId="0" xfId="77" applyFont="1" applyAlignment="1" applyProtection="1">
      <alignment vertical="center"/>
      <protection locked="0"/>
    </xf>
    <xf numFmtId="170" fontId="35" fillId="19" borderId="15" xfId="79" applyNumberFormat="1" applyFont="1" applyFill="1" applyBorder="1" applyAlignment="1" applyProtection="1">
      <alignment horizontal="center" vertical="center"/>
      <protection locked="0"/>
    </xf>
    <xf numFmtId="170" fontId="35" fillId="19" borderId="14" xfId="79" applyNumberFormat="1" applyFont="1" applyFill="1" applyBorder="1" applyAlignment="1" applyProtection="1">
      <alignment horizontal="center" vertical="center"/>
      <protection locked="0"/>
    </xf>
    <xf numFmtId="170" fontId="35" fillId="19" borderId="68" xfId="79" applyNumberFormat="1" applyFont="1" applyFill="1" applyBorder="1" applyAlignment="1" applyProtection="1">
      <alignment horizontal="center" vertical="center"/>
      <protection locked="0"/>
    </xf>
    <xf numFmtId="170" fontId="35" fillId="19" borderId="70" xfId="79" applyNumberFormat="1" applyFont="1" applyFill="1" applyBorder="1" applyAlignment="1" applyProtection="1">
      <alignment horizontal="center" vertical="center"/>
      <protection locked="0"/>
    </xf>
    <xf numFmtId="170" fontId="35" fillId="19" borderId="69" xfId="79" applyNumberFormat="1" applyFont="1" applyFill="1" applyBorder="1" applyAlignment="1" applyProtection="1">
      <alignment horizontal="center" vertical="center"/>
      <protection locked="0"/>
    </xf>
    <xf numFmtId="0" fontId="30" fillId="0" borderId="78" xfId="77" applyFont="1" applyBorder="1" applyAlignment="1" applyProtection="1">
      <alignment horizontal="left" vertical="center"/>
      <protection locked="0"/>
    </xf>
    <xf numFmtId="0" fontId="2" fillId="0" borderId="39" xfId="77" applyNumberFormat="1" applyFont="1" applyBorder="1" applyAlignment="1" applyProtection="1">
      <alignment vertical="center" wrapText="1"/>
      <protection locked="0"/>
    </xf>
    <xf numFmtId="170" fontId="30" fillId="18" borderId="36" xfId="77" applyNumberFormat="1" applyFont="1" applyFill="1" applyBorder="1" applyAlignment="1" applyProtection="1">
      <alignment horizontal="center" vertical="center"/>
      <protection locked="0"/>
    </xf>
    <xf numFmtId="170" fontId="30" fillId="18" borderId="35" xfId="77" applyNumberFormat="1" applyFont="1" applyFill="1" applyBorder="1" applyAlignment="1" applyProtection="1">
      <alignment horizontal="center" vertical="center"/>
      <protection locked="0"/>
    </xf>
    <xf numFmtId="170" fontId="30" fillId="18" borderId="39" xfId="77" applyNumberFormat="1" applyFont="1" applyFill="1" applyBorder="1" applyAlignment="1" applyProtection="1">
      <alignment horizontal="center" vertical="center"/>
      <protection locked="0"/>
    </xf>
    <xf numFmtId="0" fontId="30" fillId="0" borderId="0" xfId="77" applyFont="1" applyAlignment="1" applyProtection="1">
      <alignment horizontal="left" vertical="center"/>
    </xf>
    <xf numFmtId="0" fontId="2" fillId="0" borderId="0" xfId="77" applyNumberFormat="1" applyFont="1" applyAlignment="1" applyProtection="1">
      <alignment vertical="center" wrapText="1"/>
    </xf>
    <xf numFmtId="0" fontId="2" fillId="0" borderId="0" xfId="77" applyFont="1" applyFill="1" applyAlignment="1" applyProtection="1">
      <alignment vertical="center"/>
    </xf>
    <xf numFmtId="0" fontId="46" fillId="0" borderId="0" xfId="76" applyFont="1" applyAlignment="1" applyProtection="1">
      <alignment vertical="center"/>
    </xf>
    <xf numFmtId="0" fontId="30" fillId="0" borderId="12" xfId="78" applyFont="1" applyBorder="1" applyAlignment="1" applyProtection="1">
      <alignment horizontal="center" vertical="center" wrapText="1"/>
    </xf>
    <xf numFmtId="0" fontId="2" fillId="0" borderId="69" xfId="77" applyNumberFormat="1" applyFont="1" applyBorder="1" applyAlignment="1" applyProtection="1">
      <alignment vertical="center" wrapText="1"/>
    </xf>
    <xf numFmtId="0" fontId="30" fillId="0" borderId="30" xfId="77" applyFont="1" applyBorder="1" applyAlignment="1" applyProtection="1">
      <alignment horizontal="left" vertical="center"/>
    </xf>
    <xf numFmtId="0" fontId="2" fillId="0" borderId="39" xfId="77" applyNumberFormat="1" applyFont="1" applyBorder="1" applyAlignment="1" applyProtection="1">
      <alignment vertical="center" wrapText="1"/>
    </xf>
    <xf numFmtId="170" fontId="30" fillId="18" borderId="34" xfId="77" applyNumberFormat="1" applyFont="1" applyFill="1" applyBorder="1" applyAlignment="1" applyProtection="1">
      <alignment horizontal="center" vertical="center"/>
    </xf>
    <xf numFmtId="170" fontId="30" fillId="18" borderId="35" xfId="77" applyNumberFormat="1" applyFont="1" applyFill="1" applyBorder="1" applyAlignment="1" applyProtection="1">
      <alignment horizontal="center" vertical="center"/>
    </xf>
    <xf numFmtId="170" fontId="30" fillId="18" borderId="39" xfId="77" applyNumberFormat="1" applyFont="1" applyFill="1" applyBorder="1" applyAlignment="1" applyProtection="1">
      <alignment horizontal="center" vertical="center"/>
    </xf>
    <xf numFmtId="170" fontId="30" fillId="18" borderId="36" xfId="77" applyNumberFormat="1" applyFont="1" applyFill="1" applyBorder="1" applyAlignment="1" applyProtection="1">
      <alignment horizontal="center" vertical="center"/>
    </xf>
    <xf numFmtId="170" fontId="35" fillId="19" borderId="12" xfId="79" applyNumberFormat="1" applyFont="1" applyFill="1" applyBorder="1" applyAlignment="1" applyProtection="1">
      <alignment vertical="center"/>
      <protection locked="0"/>
    </xf>
    <xf numFmtId="170" fontId="35" fillId="19" borderId="47" xfId="79" applyNumberFormat="1" applyFont="1" applyFill="1" applyBorder="1" applyAlignment="1" applyProtection="1">
      <alignment vertical="center"/>
      <protection locked="0"/>
    </xf>
    <xf numFmtId="0" fontId="2" fillId="0" borderId="52" xfId="77" applyFont="1" applyBorder="1" applyAlignment="1" applyProtection="1">
      <alignment vertical="center"/>
    </xf>
    <xf numFmtId="0" fontId="30" fillId="0" borderId="55" xfId="77" applyFont="1" applyBorder="1" applyAlignment="1" applyProtection="1">
      <alignment horizontal="center" vertical="center" wrapText="1"/>
    </xf>
    <xf numFmtId="0" fontId="30" fillId="0" borderId="56" xfId="77" applyFont="1" applyBorder="1" applyAlignment="1" applyProtection="1">
      <alignment horizontal="center" vertical="center" wrapText="1"/>
    </xf>
    <xf numFmtId="0" fontId="30" fillId="0" borderId="57" xfId="77" applyFont="1" applyBorder="1" applyAlignment="1" applyProtection="1">
      <alignment horizontal="center" vertical="center" wrapText="1"/>
    </xf>
    <xf numFmtId="0" fontId="2" fillId="0" borderId="71" xfId="77" applyFont="1" applyBorder="1" applyAlignment="1" applyProtection="1">
      <alignment horizontal="left" vertical="center" wrapText="1"/>
    </xf>
    <xf numFmtId="1" fontId="2" fillId="0" borderId="46" xfId="79" applyNumberFormat="1" applyFont="1" applyFill="1" applyBorder="1" applyAlignment="1" applyProtection="1">
      <alignment horizontal="center" vertical="center"/>
    </xf>
    <xf numFmtId="1" fontId="2" fillId="0" borderId="47" xfId="79" applyNumberFormat="1" applyFont="1" applyFill="1" applyBorder="1" applyAlignment="1" applyProtection="1">
      <alignment horizontal="center" vertical="center"/>
    </xf>
    <xf numFmtId="1" fontId="35" fillId="19" borderId="47" xfId="79" applyNumberFormat="1" applyFont="1" applyFill="1" applyBorder="1" applyAlignment="1" applyProtection="1">
      <alignment horizontal="center" vertical="center"/>
      <protection locked="0"/>
    </xf>
    <xf numFmtId="1" fontId="2" fillId="0" borderId="61" xfId="79" applyNumberFormat="1" applyFont="1" applyFill="1" applyBorder="1" applyAlignment="1" applyProtection="1">
      <alignment horizontal="center" vertical="center"/>
    </xf>
    <xf numFmtId="0" fontId="30" fillId="0" borderId="78" xfId="77" applyFont="1" applyBorder="1" applyAlignment="1" applyProtection="1">
      <alignment horizontal="left" vertical="center"/>
    </xf>
    <xf numFmtId="1" fontId="30" fillId="18" borderId="36" xfId="77" applyNumberFormat="1" applyFont="1" applyFill="1" applyBorder="1" applyAlignment="1" applyProtection="1">
      <alignment horizontal="center" vertical="center" wrapText="1"/>
    </xf>
    <xf numFmtId="1" fontId="30" fillId="18" borderId="35" xfId="77" applyNumberFormat="1" applyFont="1" applyFill="1" applyBorder="1" applyAlignment="1" applyProtection="1">
      <alignment horizontal="center" vertical="center" wrapText="1"/>
    </xf>
    <xf numFmtId="1" fontId="30" fillId="18" borderId="39" xfId="77" applyNumberFormat="1" applyFont="1" applyFill="1" applyBorder="1" applyAlignment="1" applyProtection="1">
      <alignment horizontal="center" vertical="center" wrapText="1"/>
    </xf>
    <xf numFmtId="0" fontId="30" fillId="0" borderId="0" xfId="77" applyFont="1" applyBorder="1" applyAlignment="1" applyProtection="1">
      <alignment vertical="center"/>
    </xf>
    <xf numFmtId="0" fontId="30" fillId="0" borderId="68" xfId="77" applyFont="1" applyBorder="1" applyAlignment="1" applyProtection="1">
      <alignment horizontal="center" vertical="center" wrapText="1"/>
    </xf>
    <xf numFmtId="0" fontId="2" fillId="0" borderId="73" xfId="77" applyFont="1" applyBorder="1" applyAlignment="1" applyProtection="1">
      <alignment horizontal="center" vertical="center" wrapText="1"/>
    </xf>
    <xf numFmtId="0" fontId="30" fillId="0" borderId="44" xfId="77" applyFont="1" applyBorder="1" applyAlignment="1" applyProtection="1">
      <alignment horizontal="center" vertical="center" wrapText="1"/>
    </xf>
    <xf numFmtId="0" fontId="30" fillId="0" borderId="70" xfId="77" applyFont="1" applyFill="1" applyBorder="1" applyAlignment="1" applyProtection="1">
      <alignment horizontal="center" vertical="center" wrapText="1"/>
    </xf>
    <xf numFmtId="0" fontId="30" fillId="0" borderId="47" xfId="77" applyFont="1" applyFill="1" applyBorder="1" applyAlignment="1" applyProtection="1">
      <alignment horizontal="center" vertical="center" wrapText="1"/>
    </xf>
    <xf numFmtId="0" fontId="30" fillId="0" borderId="61" xfId="77" applyFont="1" applyFill="1" applyBorder="1" applyAlignment="1" applyProtection="1">
      <alignment horizontal="center" vertical="center" wrapText="1"/>
    </xf>
    <xf numFmtId="0" fontId="2" fillId="0" borderId="0" xfId="77" applyFont="1" applyFill="1" applyBorder="1" applyAlignment="1" applyProtection="1">
      <alignment vertical="center"/>
    </xf>
    <xf numFmtId="0" fontId="2" fillId="0" borderId="74" xfId="77" applyFont="1" applyBorder="1" applyAlignment="1" applyProtection="1">
      <alignment horizontal="center" vertical="center" wrapText="1"/>
    </xf>
    <xf numFmtId="0" fontId="30" fillId="0" borderId="58" xfId="77" applyFont="1" applyBorder="1" applyAlignment="1" applyProtection="1">
      <alignment horizontal="center" vertical="center" wrapText="1"/>
    </xf>
    <xf numFmtId="1" fontId="35" fillId="19" borderId="12" xfId="79" applyNumberFormat="1" applyFont="1" applyFill="1" applyBorder="1" applyAlignment="1" applyProtection="1">
      <alignment horizontal="center" vertical="center"/>
      <protection locked="0"/>
    </xf>
    <xf numFmtId="1" fontId="35" fillId="19" borderId="61" xfId="79" applyNumberFormat="1" applyFont="1" applyFill="1" applyBorder="1" applyAlignment="1" applyProtection="1">
      <alignment horizontal="center" vertical="center"/>
      <protection locked="0"/>
    </xf>
    <xf numFmtId="0" fontId="2" fillId="0" borderId="64" xfId="77" applyFont="1" applyBorder="1" applyAlignment="1" applyProtection="1">
      <alignment horizontal="left" vertical="center" wrapText="1"/>
    </xf>
    <xf numFmtId="1" fontId="2" fillId="0" borderId="58" xfId="79" applyNumberFormat="1" applyFont="1" applyFill="1" applyBorder="1" applyAlignment="1" applyProtection="1">
      <alignment horizontal="center" vertical="center"/>
    </xf>
    <xf numFmtId="1" fontId="35" fillId="19" borderId="20" xfId="79" applyNumberFormat="1" applyFont="1" applyFill="1" applyBorder="1" applyAlignment="1" applyProtection="1">
      <alignment horizontal="center" vertical="center"/>
      <protection locked="0"/>
    </xf>
    <xf numFmtId="1" fontId="35" fillId="19" borderId="60" xfId="79" applyNumberFormat="1" applyFont="1" applyFill="1" applyBorder="1" applyAlignment="1" applyProtection="1">
      <alignment horizontal="center" vertical="center"/>
      <protection locked="0"/>
    </xf>
    <xf numFmtId="1" fontId="35" fillId="19" borderId="59" xfId="79" applyNumberFormat="1" applyFont="1" applyFill="1" applyBorder="1" applyAlignment="1" applyProtection="1">
      <alignment horizontal="center" vertical="center"/>
      <protection locked="0"/>
    </xf>
    <xf numFmtId="0" fontId="30" fillId="0" borderId="0" xfId="77" applyFont="1" applyBorder="1" applyAlignment="1" applyProtection="1">
      <alignment horizontal="left" vertical="center"/>
    </xf>
    <xf numFmtId="0" fontId="2" fillId="0" borderId="0" xfId="77" applyNumberFormat="1" applyFont="1" applyFill="1" applyBorder="1" applyAlignment="1" applyProtection="1">
      <alignment vertical="center" wrapText="1"/>
    </xf>
    <xf numFmtId="0" fontId="30" fillId="0" borderId="18" xfId="77" applyFont="1" applyBorder="1" applyAlignment="1" applyProtection="1">
      <alignment horizontal="centerContinuous" vertical="center"/>
    </xf>
    <xf numFmtId="0" fontId="30" fillId="0" borderId="19" xfId="77" applyFont="1" applyBorder="1" applyAlignment="1" applyProtection="1">
      <alignment horizontal="centerContinuous" vertical="center"/>
    </xf>
    <xf numFmtId="0" fontId="30" fillId="0" borderId="65" xfId="77" applyFont="1" applyBorder="1" applyAlignment="1" applyProtection="1">
      <alignment horizontal="centerContinuous" vertical="center"/>
    </xf>
    <xf numFmtId="0" fontId="30" fillId="20" borderId="61" xfId="77" applyFont="1" applyFill="1" applyBorder="1" applyAlignment="1" applyProtection="1">
      <alignment horizontal="center" vertical="center" wrapText="1"/>
    </xf>
    <xf numFmtId="0" fontId="30" fillId="0" borderId="47" xfId="77" applyFont="1" applyFill="1" applyBorder="1" applyAlignment="1" applyProtection="1">
      <alignment horizontal="left" vertical="center" wrapText="1"/>
    </xf>
    <xf numFmtId="0" fontId="2" fillId="0" borderId="74" xfId="77" applyFont="1" applyBorder="1" applyAlignment="1" applyProtection="1">
      <alignment horizontal="left" vertical="center" wrapText="1"/>
    </xf>
    <xf numFmtId="0" fontId="2" fillId="20" borderId="60" xfId="79" applyFont="1" applyFill="1" applyBorder="1" applyAlignment="1" applyProtection="1">
      <alignment horizontal="center" vertical="center"/>
    </xf>
    <xf numFmtId="1" fontId="35" fillId="19" borderId="58" xfId="79" applyNumberFormat="1" applyFont="1" applyFill="1" applyBorder="1" applyAlignment="1" applyProtection="1">
      <alignment horizontal="center" vertical="center"/>
      <protection locked="0"/>
    </xf>
    <xf numFmtId="0" fontId="35" fillId="20" borderId="60" xfId="79" applyFont="1" applyFill="1" applyBorder="1" applyAlignment="1" applyProtection="1">
      <alignment horizontal="center" vertical="center"/>
    </xf>
    <xf numFmtId="0" fontId="2" fillId="0" borderId="38" xfId="77" applyFont="1" applyBorder="1" applyAlignment="1" applyProtection="1">
      <alignment horizontal="left" vertical="center" wrapText="1"/>
    </xf>
    <xf numFmtId="0" fontId="2" fillId="20" borderId="47" xfId="79" applyFont="1" applyFill="1" applyBorder="1" applyAlignment="1" applyProtection="1">
      <alignment horizontal="center" vertical="center"/>
    </xf>
    <xf numFmtId="1" fontId="35" fillId="19" borderId="46" xfId="79" applyNumberFormat="1" applyFont="1" applyFill="1" applyBorder="1" applyAlignment="1" applyProtection="1">
      <alignment horizontal="center" vertical="center"/>
      <protection locked="0"/>
    </xf>
    <xf numFmtId="0" fontId="35" fillId="20" borderId="47" xfId="79" applyFont="1" applyFill="1" applyBorder="1" applyAlignment="1" applyProtection="1">
      <alignment horizontal="center" vertical="center"/>
    </xf>
    <xf numFmtId="0" fontId="30" fillId="0" borderId="75" xfId="77" applyFont="1" applyBorder="1" applyAlignment="1" applyProtection="1">
      <alignment horizontal="left" vertical="center"/>
    </xf>
    <xf numFmtId="1" fontId="30" fillId="18" borderId="34" xfId="77" applyNumberFormat="1" applyFont="1" applyFill="1" applyBorder="1" applyAlignment="1" applyProtection="1">
      <alignment horizontal="center" vertical="center" wrapText="1"/>
    </xf>
    <xf numFmtId="0" fontId="30" fillId="20" borderId="39" xfId="77" applyNumberFormat="1" applyFont="1" applyFill="1" applyBorder="1" applyAlignment="1" applyProtection="1">
      <alignment horizontal="center" vertical="center" wrapText="1"/>
    </xf>
    <xf numFmtId="0" fontId="30" fillId="0" borderId="22" xfId="77" applyFont="1" applyBorder="1" applyAlignment="1" applyProtection="1">
      <alignment horizontal="left" vertical="center"/>
    </xf>
    <xf numFmtId="0" fontId="2" fillId="0" borderId="22" xfId="77" applyNumberFormat="1" applyFont="1" applyFill="1" applyBorder="1" applyAlignment="1" applyProtection="1">
      <alignment vertical="center" wrapText="1"/>
    </xf>
    <xf numFmtId="170" fontId="2" fillId="0" borderId="58" xfId="79" applyNumberFormat="1" applyFont="1" applyFill="1" applyBorder="1" applyAlignment="1" applyProtection="1">
      <alignment horizontal="center" vertical="center"/>
    </xf>
    <xf numFmtId="170" fontId="35" fillId="19" borderId="20" xfId="79" applyNumberFormat="1" applyFont="1" applyFill="1" applyBorder="1" applyAlignment="1" applyProtection="1">
      <alignment horizontal="center" vertical="center"/>
      <protection locked="0"/>
    </xf>
    <xf numFmtId="0" fontId="35" fillId="20" borderId="61" xfId="79" applyFont="1" applyFill="1" applyBorder="1" applyAlignment="1" applyProtection="1">
      <alignment horizontal="center" vertical="center"/>
    </xf>
    <xf numFmtId="170" fontId="35" fillId="19" borderId="60" xfId="79" applyNumberFormat="1" applyFont="1" applyFill="1" applyBorder="1" applyAlignment="1" applyProtection="1">
      <alignment horizontal="center" vertical="center"/>
      <protection locked="0"/>
    </xf>
    <xf numFmtId="0" fontId="35" fillId="20" borderId="59" xfId="79" applyFont="1" applyFill="1" applyBorder="1" applyAlignment="1" applyProtection="1">
      <alignment horizontal="center" vertical="center"/>
    </xf>
    <xf numFmtId="170" fontId="30" fillId="18" borderId="36" xfId="77" applyNumberFormat="1" applyFont="1" applyFill="1" applyBorder="1" applyAlignment="1" applyProtection="1">
      <alignment horizontal="center" vertical="center" wrapText="1"/>
    </xf>
    <xf numFmtId="170" fontId="30" fillId="18" borderId="35" xfId="77" applyNumberFormat="1" applyFont="1" applyFill="1" applyBorder="1" applyAlignment="1" applyProtection="1">
      <alignment horizontal="center" vertical="center" wrapText="1"/>
    </xf>
    <xf numFmtId="0" fontId="2" fillId="0" borderId="22" xfId="77" applyFont="1" applyBorder="1" applyAlignment="1" applyProtection="1">
      <alignment vertical="center"/>
    </xf>
    <xf numFmtId="0" fontId="30" fillId="20" borderId="69" xfId="77" applyFont="1" applyFill="1" applyBorder="1" applyAlignment="1" applyProtection="1">
      <alignment horizontal="center" vertical="center" wrapText="1"/>
    </xf>
    <xf numFmtId="170" fontId="2" fillId="0" borderId="60" xfId="79" applyNumberFormat="1" applyFont="1" applyFill="1" applyBorder="1" applyAlignment="1" applyProtection="1">
      <alignment horizontal="center" vertical="center"/>
    </xf>
    <xf numFmtId="0" fontId="35" fillId="20" borderId="57" xfId="79" applyFont="1" applyFill="1" applyBorder="1" applyAlignment="1" applyProtection="1">
      <alignment horizontal="center" vertical="center"/>
    </xf>
    <xf numFmtId="170" fontId="2" fillId="0" borderId="46" xfId="79" applyNumberFormat="1" applyFont="1" applyFill="1" applyBorder="1" applyAlignment="1" applyProtection="1">
      <alignment horizontal="center" vertical="center"/>
    </xf>
    <xf numFmtId="170" fontId="2" fillId="0" borderId="47" xfId="79" applyNumberFormat="1" applyFont="1" applyFill="1" applyBorder="1" applyAlignment="1" applyProtection="1">
      <alignment horizontal="center" vertical="center"/>
    </xf>
    <xf numFmtId="0" fontId="2" fillId="0" borderId="78" xfId="77" applyFont="1" applyBorder="1" applyAlignment="1" applyProtection="1">
      <alignment horizontal="left" vertical="center" wrapText="1"/>
    </xf>
    <xf numFmtId="170" fontId="2" fillId="0" borderId="36" xfId="79" applyNumberFormat="1" applyFont="1" applyFill="1" applyBorder="1" applyAlignment="1" applyProtection="1">
      <alignment horizontal="center" vertical="center"/>
    </xf>
    <xf numFmtId="170" fontId="2" fillId="0" borderId="35" xfId="79" applyNumberFormat="1" applyFont="1" applyFill="1" applyBorder="1" applyAlignment="1" applyProtection="1">
      <alignment horizontal="center" vertical="center"/>
    </xf>
    <xf numFmtId="0" fontId="35" fillId="20" borderId="39" xfId="79" applyFont="1" applyFill="1" applyBorder="1" applyAlignment="1" applyProtection="1">
      <alignment horizontal="center" vertical="center"/>
    </xf>
    <xf numFmtId="0" fontId="2" fillId="0" borderId="85" xfId="77" applyFont="1" applyBorder="1" applyAlignment="1" applyProtection="1">
      <alignment vertical="center"/>
    </xf>
    <xf numFmtId="1" fontId="2" fillId="0" borderId="60" xfId="79" applyNumberFormat="1" applyFont="1" applyFill="1" applyBorder="1" applyAlignment="1" applyProtection="1">
      <alignment horizontal="center" vertical="center"/>
    </xf>
    <xf numFmtId="1" fontId="2" fillId="0" borderId="59" xfId="79" applyNumberFormat="1" applyFont="1" applyFill="1" applyBorder="1" applyAlignment="1" applyProtection="1">
      <alignment horizontal="center" vertical="center"/>
    </xf>
    <xf numFmtId="0" fontId="30" fillId="0" borderId="10" xfId="77" applyFont="1" applyBorder="1" applyAlignment="1" applyProtection="1">
      <alignment horizontal="centerContinuous" vertical="center"/>
    </xf>
    <xf numFmtId="0" fontId="30" fillId="0" borderId="11" xfId="77" applyFont="1" applyBorder="1" applyAlignment="1" applyProtection="1">
      <alignment horizontal="centerContinuous" vertical="center"/>
    </xf>
    <xf numFmtId="0" fontId="30" fillId="0" borderId="40" xfId="77" applyFont="1" applyBorder="1" applyAlignment="1" applyProtection="1">
      <alignment horizontal="centerContinuous" vertical="center"/>
    </xf>
    <xf numFmtId="0" fontId="30" fillId="20" borderId="37" xfId="77" applyNumberFormat="1" applyFont="1" applyFill="1" applyBorder="1" applyAlignment="1" applyProtection="1">
      <alignment horizontal="center" vertical="center" wrapText="1"/>
    </xf>
    <xf numFmtId="0" fontId="2" fillId="20" borderId="35" xfId="79" applyFont="1" applyFill="1" applyBorder="1" applyAlignment="1" applyProtection="1">
      <alignment horizontal="center" vertical="center"/>
    </xf>
    <xf numFmtId="0" fontId="2" fillId="0" borderId="0" xfId="77" applyFont="1" applyProtection="1"/>
    <xf numFmtId="1" fontId="30" fillId="0" borderId="52" xfId="62" applyNumberFormat="1" applyFont="1" applyBorder="1" applyAlignment="1" applyProtection="1">
      <alignment horizontal="centerContinuous" wrapText="1"/>
    </xf>
    <xf numFmtId="0" fontId="45" fillId="0" borderId="54" xfId="0" applyFont="1" applyBorder="1" applyAlignment="1" applyProtection="1">
      <alignment horizontal="centerContinuous"/>
    </xf>
    <xf numFmtId="1" fontId="30" fillId="0" borderId="68" xfId="62" applyNumberFormat="1" applyFont="1" applyBorder="1" applyAlignment="1" applyProtection="1">
      <alignment horizontal="center" vertical="center" wrapText="1"/>
    </xf>
    <xf numFmtId="1" fontId="30" fillId="0" borderId="69" xfId="62" applyNumberFormat="1" applyFont="1" applyBorder="1" applyAlignment="1" applyProtection="1">
      <alignment horizontal="center" vertical="center" wrapText="1"/>
    </xf>
    <xf numFmtId="1" fontId="30" fillId="0" borderId="48" xfId="62" applyNumberFormat="1" applyFont="1" applyBorder="1" applyAlignment="1" applyProtection="1">
      <alignment horizontal="center"/>
    </xf>
    <xf numFmtId="1" fontId="30" fillId="0" borderId="63" xfId="62" applyNumberFormat="1" applyFont="1" applyBorder="1" applyAlignment="1" applyProtection="1">
      <alignment horizontal="center"/>
    </xf>
    <xf numFmtId="1" fontId="2" fillId="0" borderId="27" xfId="62" applyNumberFormat="1" applyFont="1" applyFill="1" applyBorder="1" applyProtection="1"/>
    <xf numFmtId="0" fontId="30" fillId="0" borderId="0" xfId="62" applyFont="1" applyBorder="1" applyAlignment="1" applyProtection="1"/>
    <xf numFmtId="0" fontId="2" fillId="0" borderId="0" xfId="62" applyFont="1" applyBorder="1" applyProtection="1"/>
    <xf numFmtId="1" fontId="2" fillId="0" borderId="51" xfId="73" applyNumberFormat="1" applyFont="1" applyFill="1" applyBorder="1" applyAlignment="1" applyProtection="1">
      <alignment horizontal="center"/>
    </xf>
    <xf numFmtId="0" fontId="2" fillId="0" borderId="41" xfId="0" applyFont="1" applyBorder="1" applyAlignment="1" applyProtection="1"/>
    <xf numFmtId="0" fontId="2" fillId="0" borderId="51" xfId="0" applyFont="1" applyBorder="1" applyAlignment="1" applyProtection="1"/>
    <xf numFmtId="0" fontId="30" fillId="0" borderId="0" xfId="62" applyFont="1" applyBorder="1" applyProtection="1"/>
    <xf numFmtId="1" fontId="2" fillId="0" borderId="62" xfId="73" applyNumberFormat="1" applyFont="1" applyBorder="1" applyProtection="1"/>
    <xf numFmtId="0" fontId="2" fillId="0" borderId="44" xfId="0" applyFont="1" applyBorder="1" applyAlignment="1" applyProtection="1"/>
    <xf numFmtId="0" fontId="2" fillId="0" borderId="62" xfId="0" applyFont="1" applyBorder="1" applyAlignment="1" applyProtection="1"/>
    <xf numFmtId="0" fontId="2" fillId="0" borderId="27" xfId="62" applyFont="1" applyBorder="1" applyProtection="1"/>
    <xf numFmtId="0" fontId="2" fillId="0" borderId="62" xfId="73" applyFont="1" applyBorder="1" applyAlignment="1" applyProtection="1">
      <alignment horizontal="center"/>
    </xf>
    <xf numFmtId="2" fontId="35" fillId="19" borderId="44" xfId="0" applyNumberFormat="1" applyFont="1" applyFill="1" applyBorder="1" applyAlignment="1" applyProtection="1">
      <alignment horizontal="center" vertical="center"/>
      <protection locked="0"/>
    </xf>
    <xf numFmtId="2" fontId="35" fillId="19" borderId="62" xfId="0" applyNumberFormat="1" applyFont="1" applyFill="1" applyBorder="1" applyAlignment="1" applyProtection="1">
      <alignment horizontal="center" vertical="center"/>
      <protection locked="0"/>
    </xf>
    <xf numFmtId="2" fontId="0" fillId="0" borderId="0" xfId="0" applyNumberFormat="1"/>
    <xf numFmtId="2" fontId="2" fillId="0" borderId="44" xfId="0" applyNumberFormat="1" applyFont="1" applyBorder="1" applyAlignment="1" applyProtection="1">
      <alignment horizontal="center" vertical="center"/>
    </xf>
    <xf numFmtId="2" fontId="2" fillId="0" borderId="62" xfId="0" applyNumberFormat="1" applyFont="1" applyBorder="1" applyAlignment="1" applyProtection="1">
      <alignment horizontal="center" vertical="center"/>
    </xf>
    <xf numFmtId="2" fontId="2" fillId="20" borderId="46" xfId="80" applyNumberFormat="1" applyFont="1" applyFill="1" applyBorder="1" applyAlignment="1" applyProtection="1">
      <alignment horizontal="center" vertical="center"/>
    </xf>
    <xf numFmtId="2" fontId="2" fillId="20" borderId="61" xfId="80" applyNumberFormat="1" applyFont="1" applyFill="1" applyBorder="1" applyAlignment="1" applyProtection="1">
      <alignment horizontal="center" vertical="center"/>
    </xf>
    <xf numFmtId="1" fontId="30" fillId="0" borderId="30" xfId="62" applyNumberFormat="1" applyFont="1" applyBorder="1" applyProtection="1"/>
    <xf numFmtId="1" fontId="30" fillId="0" borderId="31" xfId="62" applyNumberFormat="1" applyFont="1" applyBorder="1" applyProtection="1"/>
    <xf numFmtId="172" fontId="35" fillId="0" borderId="63" xfId="73" applyNumberFormat="1" applyFont="1" applyFill="1" applyBorder="1" applyProtection="1"/>
    <xf numFmtId="2" fontId="2" fillId="0" borderId="48" xfId="0" applyNumberFormat="1" applyFont="1" applyBorder="1" applyAlignment="1" applyProtection="1">
      <alignment horizontal="center" vertical="center"/>
    </xf>
    <xf numFmtId="2" fontId="2" fillId="0" borderId="63" xfId="0" applyNumberFormat="1" applyFont="1" applyBorder="1" applyAlignment="1" applyProtection="1">
      <alignment horizontal="center" vertical="center"/>
    </xf>
    <xf numFmtId="0" fontId="2" fillId="0" borderId="21" xfId="62" applyFont="1" applyBorder="1" applyProtection="1"/>
    <xf numFmtId="0" fontId="30" fillId="0" borderId="22" xfId="62" applyFont="1" applyBorder="1" applyAlignment="1" applyProtection="1"/>
    <xf numFmtId="0" fontId="2" fillId="0" borderId="0" xfId="64" applyFont="1" applyAlignment="1" applyProtection="1"/>
    <xf numFmtId="0" fontId="2" fillId="0" borderId="62" xfId="73" applyFont="1" applyFill="1" applyBorder="1" applyAlignment="1" applyProtection="1">
      <alignment horizontal="center"/>
    </xf>
    <xf numFmtId="2" fontId="2" fillId="0" borderId="36" xfId="0" applyNumberFormat="1" applyFont="1" applyBorder="1" applyAlignment="1" applyProtection="1">
      <alignment horizontal="center" vertical="center"/>
    </xf>
    <xf numFmtId="2" fontId="2" fillId="0" borderId="39" xfId="0" applyNumberFormat="1" applyFont="1" applyBorder="1" applyAlignment="1" applyProtection="1">
      <alignment horizontal="center" vertical="center"/>
    </xf>
    <xf numFmtId="0" fontId="2" fillId="0" borderId="36" xfId="0" applyFont="1" applyBorder="1" applyAlignment="1" applyProtection="1"/>
    <xf numFmtId="0" fontId="2" fillId="0" borderId="39" xfId="0" applyFont="1" applyBorder="1" applyAlignment="1" applyProtection="1"/>
    <xf numFmtId="1" fontId="2" fillId="0" borderId="21" xfId="62" applyNumberFormat="1" applyFont="1" applyFill="1" applyBorder="1" applyProtection="1"/>
    <xf numFmtId="0" fontId="30" fillId="0" borderId="22" xfId="62" applyFont="1" applyBorder="1" applyProtection="1"/>
    <xf numFmtId="0" fontId="2" fillId="0" borderId="22" xfId="62" applyFont="1" applyBorder="1" applyProtection="1"/>
    <xf numFmtId="0" fontId="2" fillId="0" borderId="51" xfId="73" applyFont="1" applyBorder="1" applyAlignment="1" applyProtection="1">
      <alignment horizontal="center"/>
    </xf>
    <xf numFmtId="2" fontId="2" fillId="0" borderId="41" xfId="0" applyNumberFormat="1" applyFont="1" applyBorder="1" applyAlignment="1" applyProtection="1">
      <alignment horizontal="center" vertical="center"/>
    </xf>
    <xf numFmtId="2" fontId="2" fillId="0" borderId="51" xfId="0" applyNumberFormat="1" applyFont="1" applyBorder="1" applyAlignment="1" applyProtection="1">
      <alignment horizontal="center" vertical="center"/>
    </xf>
    <xf numFmtId="2" fontId="35" fillId="0" borderId="44" xfId="0" applyNumberFormat="1" applyFont="1" applyFill="1" applyBorder="1" applyAlignment="1" applyProtection="1">
      <alignment horizontal="center" vertical="center"/>
    </xf>
    <xf numFmtId="2" fontId="35" fillId="0" borderId="62" xfId="0" applyNumberFormat="1" applyFont="1" applyFill="1" applyBorder="1" applyAlignment="1" applyProtection="1">
      <alignment horizontal="center" vertical="center"/>
    </xf>
    <xf numFmtId="0" fontId="2" fillId="0" borderId="0" xfId="62" applyFont="1" applyBorder="1" applyAlignment="1" applyProtection="1">
      <alignment horizontal="left" indent="1"/>
    </xf>
    <xf numFmtId="0" fontId="2" fillId="0" borderId="30" xfId="62" applyFont="1" applyBorder="1" applyProtection="1"/>
    <xf numFmtId="0" fontId="2" fillId="0" borderId="31" xfId="62" applyFont="1" applyBorder="1" applyProtection="1"/>
    <xf numFmtId="0" fontId="30" fillId="0" borderId="31" xfId="62" applyFont="1" applyBorder="1" applyProtection="1"/>
    <xf numFmtId="0" fontId="2" fillId="0" borderId="31" xfId="62" applyFont="1" applyBorder="1" applyAlignment="1" applyProtection="1">
      <alignment horizontal="left" indent="1"/>
    </xf>
    <xf numFmtId="0" fontId="2" fillId="0" borderId="63" xfId="73" applyFont="1" applyBorder="1" applyAlignment="1" applyProtection="1">
      <alignment horizontal="center"/>
    </xf>
    <xf numFmtId="2" fontId="35" fillId="19" borderId="48" xfId="0" applyNumberFormat="1" applyFont="1" applyFill="1" applyBorder="1" applyAlignment="1" applyProtection="1">
      <alignment horizontal="center" vertical="center"/>
      <protection locked="0"/>
    </xf>
    <xf numFmtId="2" fontId="35" fillId="19" borderId="63" xfId="0" applyNumberFormat="1" applyFont="1" applyFill="1" applyBorder="1" applyAlignment="1" applyProtection="1">
      <alignment horizontal="center" vertical="center"/>
      <protection locked="0"/>
    </xf>
    <xf numFmtId="0" fontId="32" fillId="0" borderId="14" xfId="81" applyFont="1" applyBorder="1"/>
    <xf numFmtId="0" fontId="33" fillId="0" borderId="14" xfId="81" applyFont="1" applyBorder="1"/>
    <xf numFmtId="0" fontId="33" fillId="0" borderId="15" xfId="81" applyFont="1" applyBorder="1"/>
    <xf numFmtId="0" fontId="32" fillId="0" borderId="0" xfId="81" applyFont="1" applyBorder="1"/>
    <xf numFmtId="0" fontId="33" fillId="0" borderId="0" xfId="81" applyFont="1" applyBorder="1"/>
    <xf numFmtId="0" fontId="33" fillId="0" borderId="17" xfId="81" applyFont="1" applyBorder="1"/>
    <xf numFmtId="0" fontId="32" fillId="0" borderId="17" xfId="81" applyFont="1" applyBorder="1" applyAlignment="1">
      <alignment horizontal="center" textRotation="90" wrapText="1"/>
    </xf>
    <xf numFmtId="0" fontId="52" fillId="0" borderId="0" xfId="0" applyFont="1"/>
    <xf numFmtId="0" fontId="53" fillId="0" borderId="47" xfId="81" applyFont="1" applyBorder="1" applyAlignment="1">
      <alignment wrapText="1"/>
    </xf>
    <xf numFmtId="170" fontId="53" fillId="0" borderId="47" xfId="81" applyNumberFormat="1" applyFont="1" applyBorder="1" applyAlignment="1" applyProtection="1">
      <alignment horizontal="center" textRotation="90" wrapText="1"/>
    </xf>
    <xf numFmtId="170" fontId="53" fillId="0" borderId="60" xfId="81" applyNumberFormat="1" applyFont="1" applyBorder="1" applyAlignment="1" applyProtection="1">
      <alignment horizontal="center" textRotation="90" wrapText="1"/>
    </xf>
    <xf numFmtId="0" fontId="54" fillId="0" borderId="17" xfId="81" applyFont="1" applyBorder="1" applyAlignment="1">
      <alignment horizontal="center" textRotation="90" wrapText="1"/>
    </xf>
    <xf numFmtId="0" fontId="33" fillId="0" borderId="47" xfId="81" applyFont="1" applyBorder="1"/>
    <xf numFmtId="0" fontId="33" fillId="0" borderId="47" xfId="81" applyFont="1" applyBorder="1" applyAlignment="1">
      <alignment horizontal="center"/>
    </xf>
    <xf numFmtId="0" fontId="33" fillId="0" borderId="70" xfId="81" applyFont="1" applyBorder="1"/>
    <xf numFmtId="0" fontId="33" fillId="0" borderId="70" xfId="81" applyFont="1" applyBorder="1" applyAlignment="1">
      <alignment horizontal="center"/>
    </xf>
    <xf numFmtId="0" fontId="33" fillId="0" borderId="45" xfId="81" applyFont="1" applyBorder="1"/>
    <xf numFmtId="173" fontId="33" fillId="0" borderId="45" xfId="81" applyNumberFormat="1" applyFont="1" applyBorder="1"/>
    <xf numFmtId="37" fontId="33" fillId="0" borderId="17" xfId="81" applyNumberFormat="1" applyFont="1" applyBorder="1"/>
    <xf numFmtId="174" fontId="33" fillId="21" borderId="60" xfId="81" applyNumberFormat="1" applyFont="1" applyFill="1" applyBorder="1"/>
    <xf numFmtId="174" fontId="33" fillId="0" borderId="60" xfId="81" applyNumberFormat="1" applyFont="1" applyBorder="1"/>
    <xf numFmtId="173" fontId="33" fillId="0" borderId="17" xfId="81" applyNumberFormat="1" applyFont="1" applyBorder="1"/>
    <xf numFmtId="0" fontId="33" fillId="0" borderId="60" xfId="81" applyFont="1" applyBorder="1"/>
    <xf numFmtId="173" fontId="33" fillId="0" borderId="60" xfId="81" applyNumberFormat="1" applyFont="1" applyBorder="1"/>
    <xf numFmtId="173" fontId="33" fillId="0" borderId="0" xfId="81" applyNumberFormat="1" applyFont="1" applyBorder="1"/>
    <xf numFmtId="0" fontId="33" fillId="0" borderId="0" xfId="0" applyFont="1" applyBorder="1" applyAlignment="1" applyProtection="1"/>
    <xf numFmtId="0" fontId="32" fillId="0" borderId="0" xfId="0" applyFont="1" applyBorder="1" applyAlignment="1">
      <alignment horizontal="right"/>
    </xf>
    <xf numFmtId="37" fontId="32" fillId="0" borderId="0" xfId="0" applyNumberFormat="1" applyFont="1" applyFill="1" applyBorder="1" applyAlignment="1"/>
    <xf numFmtId="0" fontId="55" fillId="0" borderId="0" xfId="0" applyFont="1" applyBorder="1" applyAlignment="1" applyProtection="1">
      <alignment horizontal="center"/>
    </xf>
    <xf numFmtId="0" fontId="33" fillId="0" borderId="19" xfId="81" applyFont="1" applyBorder="1"/>
    <xf numFmtId="173" fontId="33" fillId="0" borderId="19" xfId="81" applyNumberFormat="1" applyFont="1" applyBorder="1"/>
    <xf numFmtId="37" fontId="33" fillId="0" borderId="20" xfId="81" applyNumberFormat="1" applyFont="1" applyBorder="1"/>
    <xf numFmtId="0" fontId="30" fillId="0" borderId="0" xfId="0" applyFont="1" applyAlignment="1">
      <alignment vertical="center"/>
    </xf>
    <xf numFmtId="0" fontId="19" fillId="0" borderId="0" xfId="61" applyAlignment="1" applyProtection="1">
      <alignment vertical="center"/>
    </xf>
    <xf numFmtId="0" fontId="56"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33" fillId="0" borderId="0" xfId="0" applyFont="1" applyAlignment="1">
      <alignment vertical="center"/>
    </xf>
    <xf numFmtId="0" fontId="2" fillId="0" borderId="0" xfId="0" applyFont="1" applyAlignment="1">
      <alignment vertical="center"/>
    </xf>
    <xf numFmtId="0" fontId="31" fillId="0" borderId="0" xfId="0" applyFont="1" applyAlignment="1">
      <alignment vertical="center"/>
    </xf>
    <xf numFmtId="0" fontId="31" fillId="0" borderId="0" xfId="0" applyFont="1" applyBorder="1" applyAlignment="1">
      <alignment vertical="center"/>
    </xf>
    <xf numFmtId="0" fontId="32" fillId="0" borderId="77"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32" fillId="0" borderId="77" xfId="0" applyFont="1" applyFill="1" applyBorder="1" applyAlignment="1" applyProtection="1">
      <alignment horizontal="center" vertical="center" wrapText="1"/>
    </xf>
    <xf numFmtId="0" fontId="33" fillId="0" borderId="0" xfId="0" applyFont="1" applyAlignment="1" applyProtection="1">
      <alignment vertical="center"/>
    </xf>
    <xf numFmtId="0" fontId="32" fillId="0" borderId="24" xfId="0" applyFont="1" applyBorder="1" applyAlignment="1">
      <alignment horizontal="center" vertical="center" wrapText="1"/>
    </xf>
    <xf numFmtId="0" fontId="31" fillId="0" borderId="0" xfId="0" applyFont="1" applyAlignment="1" applyProtection="1">
      <alignment vertical="center"/>
    </xf>
    <xf numFmtId="0" fontId="56" fillId="0" borderId="0" xfId="0" applyFont="1" applyBorder="1" applyAlignment="1">
      <alignment horizontal="left" vertical="center"/>
    </xf>
    <xf numFmtId="0" fontId="32" fillId="0" borderId="84" xfId="0" applyFont="1" applyBorder="1" applyAlignment="1" applyProtection="1">
      <alignment horizontal="center" vertical="center"/>
    </xf>
    <xf numFmtId="0" fontId="32" fillId="0" borderId="88" xfId="0" applyFont="1" applyBorder="1" applyAlignment="1" applyProtection="1">
      <alignment horizontal="center" vertical="center"/>
    </xf>
    <xf numFmtId="0" fontId="32" fillId="0" borderId="83" xfId="0" applyFont="1" applyBorder="1" applyAlignment="1" applyProtection="1">
      <alignment horizontal="center" vertical="center"/>
    </xf>
    <xf numFmtId="0" fontId="32" fillId="0" borderId="0" xfId="0" applyFont="1" applyAlignment="1">
      <alignment horizontal="center" vertical="center"/>
    </xf>
    <xf numFmtId="0" fontId="32" fillId="0" borderId="77" xfId="0" applyFont="1" applyBorder="1" applyAlignment="1" applyProtection="1">
      <alignment horizontal="center" vertical="center"/>
    </xf>
    <xf numFmtId="0" fontId="33" fillId="0" borderId="0" xfId="0" applyFont="1" applyBorder="1" applyAlignment="1">
      <alignment vertical="center"/>
    </xf>
    <xf numFmtId="0" fontId="32" fillId="0" borderId="24" xfId="0" applyFont="1" applyBorder="1" applyAlignment="1" applyProtection="1">
      <alignment horizontal="center" vertical="center"/>
    </xf>
    <xf numFmtId="0" fontId="32" fillId="0" borderId="55" xfId="0" applyFont="1" applyBorder="1" applyAlignment="1" applyProtection="1">
      <alignment horizontal="center" vertical="center"/>
    </xf>
    <xf numFmtId="0" fontId="32" fillId="0" borderId="89" xfId="0" applyFont="1" applyBorder="1" applyAlignment="1" applyProtection="1">
      <alignment horizontal="center" vertical="center"/>
    </xf>
    <xf numFmtId="0" fontId="32" fillId="0" borderId="85" xfId="0" applyFont="1" applyBorder="1" applyAlignment="1" applyProtection="1">
      <alignment horizontal="center" vertical="center"/>
    </xf>
    <xf numFmtId="0" fontId="32" fillId="0" borderId="48" xfId="0" applyFont="1" applyBorder="1" applyAlignment="1">
      <alignment horizontal="center" vertical="center"/>
    </xf>
    <xf numFmtId="0" fontId="32" fillId="0" borderId="50" xfId="0" applyFont="1" applyBorder="1" applyAlignment="1">
      <alignment horizontal="center" vertical="center"/>
    </xf>
    <xf numFmtId="0" fontId="32" fillId="0" borderId="33" xfId="0" applyFont="1" applyBorder="1" applyAlignment="1">
      <alignment horizontal="center" vertical="center"/>
    </xf>
    <xf numFmtId="0" fontId="32" fillId="0" borderId="77" xfId="0" applyFont="1" applyBorder="1" applyAlignment="1">
      <alignment horizontal="center" vertical="center"/>
    </xf>
    <xf numFmtId="0" fontId="32" fillId="0" borderId="84" xfId="0" applyFont="1" applyBorder="1" applyAlignment="1">
      <alignment horizontal="center" vertical="center"/>
    </xf>
    <xf numFmtId="0" fontId="32" fillId="0" borderId="88" xfId="0" applyFont="1" applyBorder="1" applyAlignment="1">
      <alignment horizontal="center" vertical="center"/>
    </xf>
    <xf numFmtId="0" fontId="31" fillId="0" borderId="0" xfId="0" applyFont="1" applyBorder="1" applyAlignment="1" applyProtection="1">
      <alignment horizontal="left" vertical="center" wrapText="1"/>
    </xf>
    <xf numFmtId="175" fontId="31" fillId="0" borderId="0" xfId="0" applyNumberFormat="1" applyFont="1" applyAlignment="1">
      <alignment horizontal="right" vertical="center"/>
    </xf>
    <xf numFmtId="175" fontId="49" fillId="19" borderId="85" xfId="0" applyNumberFormat="1" applyFont="1" applyFill="1" applyBorder="1" applyAlignment="1" applyProtection="1">
      <alignment horizontal="right" vertical="center"/>
      <protection locked="0"/>
    </xf>
    <xf numFmtId="175" fontId="49" fillId="19" borderId="38" xfId="0" applyNumberFormat="1" applyFont="1" applyFill="1" applyBorder="1" applyAlignment="1" applyProtection="1">
      <alignment horizontal="right" vertical="center"/>
      <protection locked="0"/>
    </xf>
    <xf numFmtId="175" fontId="49" fillId="19" borderId="58" xfId="0" applyNumberFormat="1" applyFont="1" applyFill="1" applyBorder="1" applyAlignment="1" applyProtection="1">
      <alignment horizontal="right" vertical="center"/>
      <protection locked="0"/>
    </xf>
    <xf numFmtId="175" fontId="49" fillId="19" borderId="18" xfId="0" applyNumberFormat="1" applyFont="1" applyFill="1" applyBorder="1" applyAlignment="1" applyProtection="1">
      <alignment horizontal="right" vertical="center"/>
      <protection locked="0"/>
    </xf>
    <xf numFmtId="175" fontId="31" fillId="26" borderId="74" xfId="0" applyNumberFormat="1" applyFont="1" applyFill="1" applyBorder="1" applyAlignment="1">
      <alignment horizontal="right" vertical="center"/>
    </xf>
    <xf numFmtId="175" fontId="49" fillId="19" borderId="75"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xf>
    <xf numFmtId="175" fontId="49" fillId="19" borderId="74"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wrapText="1"/>
    </xf>
    <xf numFmtId="175" fontId="49" fillId="19" borderId="46" xfId="0" applyNumberFormat="1" applyFont="1" applyFill="1" applyBorder="1" applyAlignment="1" applyProtection="1">
      <alignment horizontal="right" vertical="center"/>
      <protection locked="0"/>
    </xf>
    <xf numFmtId="175" fontId="49" fillId="19" borderId="10" xfId="0" applyNumberFormat="1" applyFont="1" applyFill="1" applyBorder="1" applyAlignment="1" applyProtection="1">
      <alignment horizontal="right" vertical="center"/>
      <protection locked="0"/>
    </xf>
    <xf numFmtId="175" fontId="31" fillId="26" borderId="38" xfId="0" applyNumberFormat="1" applyFont="1" applyFill="1" applyBorder="1" applyAlignment="1">
      <alignment horizontal="right" vertical="center"/>
    </xf>
    <xf numFmtId="175" fontId="49" fillId="19" borderId="68" xfId="0" applyNumberFormat="1" applyFont="1" applyFill="1" applyBorder="1" applyAlignment="1" applyProtection="1">
      <alignment horizontal="right" vertical="center"/>
      <protection locked="0"/>
    </xf>
    <xf numFmtId="175" fontId="49" fillId="19" borderId="13" xfId="0" applyNumberFormat="1" applyFont="1" applyFill="1" applyBorder="1" applyAlignment="1" applyProtection="1">
      <alignment horizontal="right" vertical="center"/>
      <protection locked="0"/>
    </xf>
    <xf numFmtId="175" fontId="31" fillId="26" borderId="73" xfId="0" applyNumberFormat="1" applyFont="1" applyFill="1" applyBorder="1" applyAlignment="1">
      <alignment horizontal="right" vertical="center"/>
    </xf>
    <xf numFmtId="175" fontId="49" fillId="19" borderId="73" xfId="0" applyNumberFormat="1" applyFont="1" applyFill="1" applyBorder="1" applyAlignment="1" applyProtection="1">
      <alignment horizontal="right" vertical="center"/>
      <protection locked="0"/>
    </xf>
    <xf numFmtId="175" fontId="49" fillId="19" borderId="55" xfId="0" applyNumberFormat="1" applyFont="1" applyFill="1" applyBorder="1" applyAlignment="1" applyProtection="1">
      <alignment horizontal="right" vertical="center"/>
      <protection locked="0"/>
    </xf>
    <xf numFmtId="175" fontId="49" fillId="19" borderId="89" xfId="0" applyNumberFormat="1" applyFont="1" applyFill="1" applyBorder="1" applyAlignment="1" applyProtection="1">
      <alignment horizontal="right" vertical="center"/>
      <protection locked="0"/>
    </xf>
    <xf numFmtId="175" fontId="31" fillId="26" borderId="85" xfId="0" applyNumberFormat="1" applyFont="1" applyFill="1" applyBorder="1" applyAlignment="1">
      <alignment horizontal="right" vertical="center"/>
    </xf>
    <xf numFmtId="0" fontId="31" fillId="0" borderId="47" xfId="0" applyFont="1" applyFill="1" applyBorder="1" applyAlignment="1" applyProtection="1">
      <alignment horizontal="left" vertical="center"/>
    </xf>
    <xf numFmtId="0" fontId="31" fillId="0" borderId="61" xfId="0" applyFont="1" applyBorder="1" applyAlignment="1" applyProtection="1">
      <alignment horizontal="left" vertical="center" wrapText="1"/>
    </xf>
    <xf numFmtId="175" fontId="49" fillId="19" borderId="36" xfId="0" applyNumberFormat="1" applyFont="1" applyFill="1" applyBorder="1" applyAlignment="1" applyProtection="1">
      <alignment horizontal="right" vertical="center"/>
      <protection locked="0"/>
    </xf>
    <xf numFmtId="175" fontId="49" fillId="19" borderId="37" xfId="0" applyNumberFormat="1" applyFont="1" applyFill="1" applyBorder="1" applyAlignment="1" applyProtection="1">
      <alignment horizontal="right" vertical="center"/>
      <protection locked="0"/>
    </xf>
    <xf numFmtId="175" fontId="31" fillId="26" borderId="75" xfId="0" applyNumberFormat="1" applyFont="1" applyFill="1" applyBorder="1" applyAlignment="1">
      <alignment horizontal="right" vertical="center"/>
    </xf>
    <xf numFmtId="175" fontId="49" fillId="19" borderId="57" xfId="0" applyNumberFormat="1" applyFont="1" applyFill="1" applyBorder="1" applyAlignment="1" applyProtection="1">
      <alignment horizontal="right" vertical="center"/>
      <protection locked="0"/>
    </xf>
    <xf numFmtId="0" fontId="31" fillId="0" borderId="61" xfId="0" applyFont="1" applyFill="1" applyBorder="1" applyAlignment="1" applyProtection="1">
      <alignment horizontal="left" vertical="center"/>
    </xf>
    <xf numFmtId="175" fontId="49" fillId="19" borderId="61" xfId="0" applyNumberFormat="1" applyFont="1" applyFill="1" applyBorder="1" applyAlignment="1" applyProtection="1">
      <alignment horizontal="right" vertical="center"/>
      <protection locked="0"/>
    </xf>
    <xf numFmtId="175" fontId="49" fillId="19" borderId="69" xfId="0" applyNumberFormat="1" applyFont="1" applyFill="1" applyBorder="1" applyAlignment="1" applyProtection="1">
      <alignment horizontal="right" vertical="center"/>
      <protection locked="0"/>
    </xf>
    <xf numFmtId="175" fontId="49" fillId="19" borderId="84" xfId="0" applyNumberFormat="1" applyFont="1" applyFill="1" applyBorder="1" applyAlignment="1" applyProtection="1">
      <alignment horizontal="right" vertical="center"/>
      <protection locked="0"/>
    </xf>
    <xf numFmtId="175" fontId="49" fillId="19" borderId="25" xfId="0" applyNumberFormat="1" applyFont="1" applyFill="1" applyBorder="1" applyAlignment="1" applyProtection="1">
      <alignment horizontal="right" vertical="center"/>
      <protection locked="0"/>
    </xf>
    <xf numFmtId="175" fontId="31" fillId="26" borderId="77" xfId="0" applyNumberFormat="1" applyFont="1" applyFill="1" applyBorder="1" applyAlignment="1">
      <alignment horizontal="right" vertical="center"/>
    </xf>
    <xf numFmtId="175" fontId="49" fillId="19" borderId="77" xfId="0" applyNumberFormat="1" applyFont="1" applyFill="1" applyBorder="1" applyAlignment="1" applyProtection="1">
      <alignment horizontal="right" vertical="center"/>
      <protection locked="0"/>
    </xf>
    <xf numFmtId="0" fontId="57" fillId="0" borderId="0" xfId="0" applyFont="1" applyBorder="1" applyAlignment="1" applyProtection="1">
      <alignment horizontal="left" vertical="center" wrapText="1"/>
    </xf>
    <xf numFmtId="175" fontId="49" fillId="20" borderId="30" xfId="0" applyNumberFormat="1" applyFont="1" applyFill="1" applyBorder="1" applyAlignment="1">
      <alignment horizontal="right" vertical="center"/>
    </xf>
    <xf numFmtId="175" fontId="49" fillId="20" borderId="31" xfId="0" applyNumberFormat="1" applyFont="1" applyFill="1" applyBorder="1" applyAlignment="1">
      <alignment horizontal="right" vertical="center"/>
    </xf>
    <xf numFmtId="175" fontId="31" fillId="20" borderId="33" xfId="0" applyNumberFormat="1" applyFont="1" applyFill="1" applyBorder="1" applyAlignment="1">
      <alignment horizontal="right" vertical="center"/>
    </xf>
    <xf numFmtId="175" fontId="31" fillId="0" borderId="0" xfId="0" applyNumberFormat="1" applyFont="1" applyFill="1" applyAlignment="1">
      <alignment horizontal="right" vertical="center"/>
    </xf>
    <xf numFmtId="175" fontId="49" fillId="19" borderId="33" xfId="0" applyNumberFormat="1" applyFont="1" applyFill="1" applyBorder="1" applyAlignment="1" applyProtection="1">
      <alignment horizontal="right" vertical="center"/>
      <protection locked="0"/>
    </xf>
    <xf numFmtId="0" fontId="31" fillId="0" borderId="0" xfId="0" applyFont="1" applyFill="1" applyAlignment="1" applyProtection="1">
      <alignment vertical="center"/>
    </xf>
    <xf numFmtId="175" fontId="49" fillId="20" borderId="76" xfId="0" applyNumberFormat="1" applyFont="1" applyFill="1" applyBorder="1" applyAlignment="1">
      <alignment horizontal="right" vertical="center"/>
    </xf>
    <xf numFmtId="175" fontId="49" fillId="20" borderId="25" xfId="0" applyNumberFormat="1" applyFont="1" applyFill="1" applyBorder="1" applyAlignment="1">
      <alignment horizontal="right" vertical="center"/>
    </xf>
    <xf numFmtId="175" fontId="49" fillId="20" borderId="77" xfId="0" applyNumberFormat="1" applyFont="1" applyFill="1" applyBorder="1" applyAlignment="1">
      <alignment horizontal="right" vertical="center"/>
    </xf>
    <xf numFmtId="175" fontId="49" fillId="19" borderId="83" xfId="0" applyNumberFormat="1" applyFont="1" applyFill="1" applyBorder="1" applyAlignment="1" applyProtection="1">
      <alignment horizontal="right" vertical="center"/>
      <protection locked="0"/>
    </xf>
    <xf numFmtId="175" fontId="49" fillId="20" borderId="77" xfId="0" applyNumberFormat="1" applyFont="1" applyFill="1" applyBorder="1" applyAlignment="1" applyProtection="1">
      <alignment horizontal="right" vertical="center"/>
    </xf>
    <xf numFmtId="175" fontId="31" fillId="20" borderId="77" xfId="0" applyNumberFormat="1" applyFont="1" applyFill="1" applyBorder="1" applyAlignment="1" applyProtection="1">
      <alignment horizontal="right" vertical="center"/>
    </xf>
    <xf numFmtId="175" fontId="49" fillId="20" borderId="33" xfId="0" applyNumberFormat="1" applyFont="1" applyFill="1" applyBorder="1" applyAlignment="1">
      <alignment horizontal="right" vertical="center"/>
    </xf>
    <xf numFmtId="175" fontId="49" fillId="19" borderId="32" xfId="0" applyNumberFormat="1" applyFont="1" applyFill="1" applyBorder="1" applyAlignment="1" applyProtection="1">
      <alignment horizontal="right" vertical="center"/>
      <protection locked="0"/>
    </xf>
    <xf numFmtId="0" fontId="57" fillId="0" borderId="0" xfId="0" applyFont="1" applyBorder="1" applyAlignment="1">
      <alignment vertical="center"/>
    </xf>
    <xf numFmtId="175" fontId="57" fillId="26" borderId="33" xfId="0" applyNumberFormat="1" applyFont="1" applyFill="1" applyBorder="1" applyAlignment="1">
      <alignment horizontal="right" vertical="center"/>
    </xf>
    <xf numFmtId="175" fontId="57" fillId="0" borderId="0" xfId="0" applyNumberFormat="1" applyFont="1" applyAlignment="1">
      <alignment horizontal="right" vertical="center"/>
    </xf>
    <xf numFmtId="0" fontId="57" fillId="0" borderId="0" xfId="0" applyFont="1" applyAlignment="1" applyProtection="1">
      <alignment vertical="center"/>
    </xf>
    <xf numFmtId="0" fontId="31" fillId="0" borderId="0" xfId="0" applyFont="1" applyBorder="1" applyAlignment="1" applyProtection="1">
      <alignment vertical="center"/>
    </xf>
    <xf numFmtId="0" fontId="58" fillId="0" borderId="0" xfId="0" applyFont="1" applyAlignment="1" applyProtection="1">
      <alignment horizontal="center" vertical="center"/>
    </xf>
    <xf numFmtId="0" fontId="57" fillId="0" borderId="0" xfId="0" applyFont="1" applyAlignment="1">
      <alignment vertical="center"/>
    </xf>
    <xf numFmtId="0" fontId="57" fillId="0" borderId="0" xfId="0" applyFont="1" applyFill="1" applyAlignment="1">
      <alignment vertical="center"/>
    </xf>
    <xf numFmtId="0" fontId="57" fillId="0" borderId="0" xfId="0" applyFont="1" applyFill="1" applyBorder="1" applyAlignment="1">
      <alignment vertical="center"/>
    </xf>
    <xf numFmtId="0" fontId="56" fillId="0" borderId="76" xfId="0" applyFont="1" applyFill="1" applyBorder="1" applyAlignment="1" applyProtection="1">
      <alignment vertical="center"/>
    </xf>
    <xf numFmtId="0" fontId="57" fillId="0" borderId="25" xfId="0" applyFont="1" applyBorder="1" applyAlignment="1" applyProtection="1">
      <alignment vertical="center"/>
    </xf>
    <xf numFmtId="0" fontId="57" fillId="0" borderId="77" xfId="0" applyFont="1" applyBorder="1" applyAlignment="1">
      <alignment horizontal="center" vertical="center" wrapText="1"/>
    </xf>
    <xf numFmtId="0" fontId="57" fillId="0" borderId="77" xfId="0" applyFont="1" applyFill="1" applyBorder="1" applyAlignment="1" applyProtection="1">
      <alignment horizontal="center" vertical="center" wrapText="1"/>
    </xf>
    <xf numFmtId="0" fontId="57" fillId="0" borderId="0" xfId="0" applyFont="1" applyFill="1" applyBorder="1" applyAlignment="1" applyProtection="1">
      <alignment vertical="center"/>
    </xf>
    <xf numFmtId="0" fontId="57" fillId="0" borderId="33" xfId="0" applyFont="1" applyBorder="1" applyAlignment="1">
      <alignment horizontal="center" vertical="center"/>
    </xf>
    <xf numFmtId="0" fontId="57" fillId="0" borderId="77" xfId="0" applyFont="1" applyBorder="1" applyAlignment="1">
      <alignment horizontal="center" vertical="center"/>
    </xf>
    <xf numFmtId="175" fontId="49" fillId="19" borderId="65" xfId="0" applyNumberFormat="1" applyFont="1" applyFill="1" applyBorder="1" applyAlignment="1" applyProtection="1">
      <alignment horizontal="right" vertical="center"/>
      <protection locked="0"/>
    </xf>
    <xf numFmtId="175" fontId="49" fillId="19" borderId="67" xfId="0" applyNumberFormat="1" applyFont="1" applyFill="1" applyBorder="1" applyAlignment="1" applyProtection="1">
      <alignment horizontal="right" vertical="center"/>
      <protection locked="0"/>
    </xf>
    <xf numFmtId="0" fontId="33" fillId="0" borderId="0" xfId="0" applyFont="1" applyBorder="1" applyAlignment="1" applyProtection="1">
      <alignment vertical="center"/>
    </xf>
    <xf numFmtId="0" fontId="41" fillId="0" borderId="0" xfId="0" applyFont="1" applyBorder="1" applyAlignment="1" applyProtection="1">
      <alignment vertical="center"/>
    </xf>
    <xf numFmtId="0" fontId="31" fillId="0" borderId="0" xfId="0" applyFont="1" applyBorder="1" applyAlignment="1" applyProtection="1">
      <alignment vertical="center" wrapText="1"/>
    </xf>
    <xf numFmtId="175" fontId="49" fillId="19" borderId="40" xfId="0" applyNumberFormat="1" applyFont="1" applyFill="1" applyBorder="1" applyAlignment="1" applyProtection="1">
      <alignment horizontal="right" vertical="center"/>
      <protection locked="0"/>
    </xf>
    <xf numFmtId="0" fontId="57" fillId="0" borderId="0" xfId="0" applyFont="1" applyBorder="1" applyAlignment="1" applyProtection="1">
      <alignment vertical="center" wrapText="1"/>
    </xf>
    <xf numFmtId="175" fontId="57" fillId="26" borderId="26" xfId="0" applyNumberFormat="1" applyFont="1" applyFill="1" applyBorder="1" applyAlignment="1">
      <alignment horizontal="right" vertical="center"/>
    </xf>
    <xf numFmtId="0" fontId="57" fillId="0" borderId="0" xfId="0" applyFont="1" applyBorder="1" applyAlignment="1">
      <alignment horizontal="center" vertical="center"/>
    </xf>
    <xf numFmtId="0" fontId="31" fillId="0" borderId="0" xfId="0" applyFont="1" applyFill="1" applyAlignment="1">
      <alignment vertical="center"/>
    </xf>
    <xf numFmtId="0" fontId="31" fillId="0" borderId="0" xfId="0" applyFont="1" applyFill="1" applyBorder="1" applyAlignment="1">
      <alignment vertical="center"/>
    </xf>
    <xf numFmtId="0" fontId="31" fillId="0" borderId="0" xfId="0" applyFont="1" applyFill="1" applyBorder="1" applyAlignment="1" applyProtection="1">
      <alignment vertical="center"/>
    </xf>
    <xf numFmtId="0" fontId="41"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1" fillId="0" borderId="0" xfId="0" applyFont="1" applyAlignment="1" applyProtection="1"/>
    <xf numFmtId="0" fontId="31" fillId="11" borderId="25" xfId="0" applyFont="1" applyFill="1" applyBorder="1" applyAlignment="1">
      <alignment horizontal="centerContinuous" vertical="center"/>
    </xf>
    <xf numFmtId="0" fontId="31" fillId="11" borderId="26" xfId="0" applyFont="1" applyFill="1" applyBorder="1" applyAlignment="1">
      <alignment horizontal="centerContinuous" vertical="center"/>
    </xf>
    <xf numFmtId="0" fontId="31" fillId="11" borderId="86" xfId="0" applyFont="1" applyFill="1" applyBorder="1" applyAlignment="1" applyProtection="1">
      <alignment horizontal="center" textRotation="90" wrapText="1"/>
    </xf>
    <xf numFmtId="0" fontId="31" fillId="11" borderId="42" xfId="0" applyFont="1" applyFill="1" applyBorder="1" applyAlignment="1" applyProtection="1">
      <alignment horizontal="center" textRotation="90" wrapText="1"/>
    </xf>
    <xf numFmtId="0" fontId="31" fillId="11" borderId="82" xfId="0" applyFont="1" applyFill="1" applyBorder="1" applyAlignment="1" applyProtection="1">
      <alignment horizontal="center" textRotation="90" wrapText="1"/>
    </xf>
    <xf numFmtId="0" fontId="31" fillId="11" borderId="83" xfId="0" applyFont="1" applyFill="1" applyBorder="1" applyAlignment="1" applyProtection="1">
      <alignment horizontal="center" textRotation="90" wrapText="1"/>
    </xf>
    <xf numFmtId="0" fontId="57" fillId="11" borderId="77" xfId="0" applyFont="1" applyFill="1" applyBorder="1" applyAlignment="1" applyProtection="1">
      <alignment horizontal="center" textRotation="90"/>
    </xf>
    <xf numFmtId="0" fontId="57" fillId="0" borderId="86" xfId="0" applyFont="1" applyBorder="1" applyAlignment="1">
      <alignment horizontal="center"/>
    </xf>
    <xf numFmtId="0" fontId="57" fillId="0" borderId="42" xfId="0" applyFont="1" applyBorder="1" applyAlignment="1">
      <alignment horizontal="center"/>
    </xf>
    <xf numFmtId="0" fontId="57" fillId="0" borderId="22" xfId="0" applyFont="1" applyBorder="1" applyAlignment="1">
      <alignment horizontal="center"/>
    </xf>
    <xf numFmtId="0" fontId="57" fillId="0" borderId="24" xfId="0" applyFont="1" applyBorder="1" applyAlignment="1">
      <alignment horizontal="center"/>
    </xf>
    <xf numFmtId="0" fontId="57" fillId="20" borderId="17" xfId="0" applyFont="1" applyFill="1" applyBorder="1" applyAlignment="1">
      <alignment horizontal="center"/>
    </xf>
    <xf numFmtId="0" fontId="57" fillId="20" borderId="45" xfId="0" applyFont="1" applyFill="1" applyBorder="1" applyAlignment="1">
      <alignment horizontal="center"/>
    </xf>
    <xf numFmtId="0" fontId="57" fillId="20" borderId="0" xfId="0" applyFont="1" applyFill="1" applyBorder="1" applyAlignment="1">
      <alignment horizontal="center"/>
    </xf>
    <xf numFmtId="0" fontId="31" fillId="20" borderId="38" xfId="0" applyFont="1" applyFill="1" applyBorder="1" applyAlignment="1"/>
    <xf numFmtId="175" fontId="49" fillId="19" borderId="47" xfId="0" applyNumberFormat="1" applyFont="1" applyFill="1" applyBorder="1" applyAlignment="1" applyProtection="1">
      <protection locked="0"/>
    </xf>
    <xf numFmtId="175" fontId="49" fillId="20" borderId="47" xfId="0" applyNumberFormat="1" applyFont="1" applyFill="1" applyBorder="1" applyAlignment="1" applyProtection="1"/>
    <xf numFmtId="175" fontId="49" fillId="20" borderId="10" xfId="0" applyNumberFormat="1" applyFont="1" applyFill="1" applyBorder="1" applyAlignment="1" applyProtection="1"/>
    <xf numFmtId="175" fontId="49" fillId="20" borderId="10" xfId="0" applyNumberFormat="1" applyFont="1" applyFill="1" applyBorder="1" applyAlignment="1"/>
    <xf numFmtId="175" fontId="31" fillId="26" borderId="38" xfId="0" applyNumberFormat="1" applyFont="1" applyFill="1" applyBorder="1" applyAlignment="1"/>
    <xf numFmtId="175" fontId="57" fillId="20" borderId="17" xfId="0" applyNumberFormat="1" applyFont="1" applyFill="1" applyBorder="1" applyAlignment="1">
      <alignment horizontal="center"/>
    </xf>
    <xf numFmtId="175" fontId="57" fillId="20" borderId="45" xfId="0" applyNumberFormat="1" applyFont="1" applyFill="1" applyBorder="1" applyAlignment="1">
      <alignment horizontal="center"/>
    </xf>
    <xf numFmtId="175" fontId="31" fillId="20" borderId="38" xfId="0" applyNumberFormat="1" applyFont="1" applyFill="1" applyBorder="1" applyAlignment="1"/>
    <xf numFmtId="175" fontId="49" fillId="20" borderId="12" xfId="0" applyNumberFormat="1" applyFont="1" applyFill="1" applyBorder="1" applyAlignment="1" applyProtection="1"/>
    <xf numFmtId="175" fontId="49" fillId="20" borderId="12" xfId="0" applyNumberFormat="1" applyFont="1" applyFill="1" applyBorder="1" applyAlignment="1"/>
    <xf numFmtId="175" fontId="49" fillId="20" borderId="47" xfId="0" applyNumberFormat="1" applyFont="1" applyFill="1" applyBorder="1" applyAlignment="1"/>
    <xf numFmtId="175" fontId="57" fillId="26" borderId="12" xfId="0" applyNumberFormat="1" applyFont="1" applyFill="1" applyBorder="1" applyAlignment="1"/>
    <xf numFmtId="175" fontId="57" fillId="26" borderId="11" xfId="0" applyNumberFormat="1" applyFont="1" applyFill="1" applyBorder="1" applyAlignment="1"/>
    <xf numFmtId="175" fontId="57" fillId="26" borderId="38" xfId="0" applyNumberFormat="1" applyFont="1" applyFill="1" applyBorder="1" applyAlignment="1"/>
    <xf numFmtId="0" fontId="58" fillId="0" borderId="0" xfId="0" quotePrefix="1" applyFont="1" applyAlignment="1" applyProtection="1"/>
    <xf numFmtId="175" fontId="57" fillId="26" borderId="47" xfId="0" applyNumberFormat="1" applyFont="1" applyFill="1" applyBorder="1" applyAlignment="1"/>
    <xf numFmtId="175" fontId="57" fillId="26" borderId="10" xfId="0" applyNumberFormat="1" applyFont="1" applyFill="1" applyBorder="1" applyAlignment="1"/>
    <xf numFmtId="0" fontId="31" fillId="0" borderId="0" xfId="0" quotePrefix="1" applyFont="1" applyAlignment="1" applyProtection="1"/>
    <xf numFmtId="175" fontId="49" fillId="20" borderId="70" xfId="0" applyNumberFormat="1" applyFont="1" applyFill="1" applyBorder="1" applyAlignment="1"/>
    <xf numFmtId="175" fontId="31" fillId="20" borderId="70" xfId="0" applyNumberFormat="1" applyFont="1" applyFill="1" applyBorder="1" applyAlignment="1"/>
    <xf numFmtId="175" fontId="57" fillId="26" borderId="73" xfId="0" applyNumberFormat="1" applyFont="1" applyFill="1" applyBorder="1" applyAlignment="1"/>
    <xf numFmtId="0" fontId="58" fillId="0" borderId="0" xfId="0" applyFont="1" applyAlignment="1" applyProtection="1"/>
    <xf numFmtId="175" fontId="57" fillId="26" borderId="81" xfId="0" applyNumberFormat="1" applyFont="1" applyFill="1" applyBorder="1" applyAlignment="1"/>
    <xf numFmtId="175" fontId="57" fillId="26" borderId="82" xfId="0" applyNumberFormat="1" applyFont="1" applyFill="1" applyBorder="1" applyAlignment="1"/>
    <xf numFmtId="175" fontId="57" fillId="26" borderId="88" xfId="0" applyNumberFormat="1" applyFont="1" applyFill="1" applyBorder="1" applyAlignment="1"/>
    <xf numFmtId="175" fontId="57" fillId="26" borderId="77" xfId="0" applyNumberFormat="1" applyFont="1" applyFill="1" applyBorder="1" applyAlignment="1"/>
    <xf numFmtId="0" fontId="49" fillId="0" borderId="0" xfId="0" applyFont="1" applyFill="1" applyBorder="1" applyAlignment="1"/>
    <xf numFmtId="0" fontId="31" fillId="0" borderId="0" xfId="0" applyFont="1" applyFill="1" applyBorder="1" applyAlignment="1"/>
    <xf numFmtId="0" fontId="58" fillId="0" borderId="0" xfId="0" applyFont="1" applyBorder="1" applyAlignment="1">
      <alignment horizontal="center"/>
    </xf>
    <xf numFmtId="0" fontId="57" fillId="24" borderId="25" xfId="0" applyFont="1" applyFill="1" applyBorder="1" applyAlignment="1" applyProtection="1">
      <alignment vertical="center" wrapText="1"/>
    </xf>
    <xf numFmtId="0" fontId="57" fillId="24" borderId="26" xfId="0" applyFont="1" applyFill="1" applyBorder="1" applyAlignment="1" applyProtection="1">
      <alignment horizontal="center" vertical="center" wrapText="1"/>
    </xf>
    <xf numFmtId="0" fontId="57" fillId="0" borderId="0" xfId="0" applyFont="1" applyAlignment="1" applyProtection="1"/>
    <xf numFmtId="0" fontId="57" fillId="24" borderId="29" xfId="0" applyFont="1" applyFill="1" applyBorder="1" applyAlignment="1" applyProtection="1">
      <alignment horizontal="center" vertical="center" wrapText="1"/>
    </xf>
    <xf numFmtId="0" fontId="57" fillId="24" borderId="24" xfId="0" applyFont="1" applyFill="1" applyBorder="1" applyAlignment="1" applyProtection="1">
      <alignment horizontal="center" vertical="top" wrapText="1"/>
    </xf>
    <xf numFmtId="0" fontId="57" fillId="0" borderId="77" xfId="0" applyFont="1" applyBorder="1" applyAlignment="1">
      <alignment horizontal="center"/>
    </xf>
    <xf numFmtId="0" fontId="31" fillId="0" borderId="89" xfId="0" applyFont="1" applyFill="1" applyBorder="1" applyAlignment="1" applyProtection="1">
      <alignment vertical="center"/>
    </xf>
    <xf numFmtId="175" fontId="49" fillId="19" borderId="47" xfId="0" applyNumberFormat="1" applyFont="1" applyFill="1" applyBorder="1" applyAlignment="1" applyProtection="1">
      <alignment vertical="center"/>
      <protection locked="0"/>
    </xf>
    <xf numFmtId="175" fontId="49" fillId="19" borderId="85" xfId="0" applyNumberFormat="1" applyFont="1" applyFill="1" applyBorder="1" applyAlignment="1" applyProtection="1">
      <alignment vertical="center"/>
      <protection locked="0"/>
    </xf>
    <xf numFmtId="175" fontId="31" fillId="26" borderId="74" xfId="0" applyNumberFormat="1" applyFont="1" applyFill="1" applyBorder="1" applyAlignment="1">
      <alignment vertical="center"/>
    </xf>
    <xf numFmtId="0" fontId="31" fillId="0" borderId="37" xfId="0" applyFont="1" applyFill="1" applyBorder="1" applyAlignment="1" applyProtection="1">
      <alignment vertical="center"/>
    </xf>
    <xf numFmtId="175" fontId="49" fillId="19" borderId="33" xfId="0" applyNumberFormat="1" applyFont="1" applyFill="1" applyBorder="1" applyAlignment="1" applyProtection="1">
      <alignment vertical="center"/>
      <protection locked="0"/>
    </xf>
    <xf numFmtId="175" fontId="31" fillId="26" borderId="75" xfId="0" applyNumberFormat="1" applyFont="1" applyFill="1" applyBorder="1" applyAlignment="1">
      <alignment vertical="center"/>
    </xf>
    <xf numFmtId="0" fontId="31" fillId="0" borderId="10" xfId="0" applyFont="1" applyFill="1" applyBorder="1" applyAlignment="1" applyProtection="1">
      <alignment vertical="center"/>
    </xf>
    <xf numFmtId="175" fontId="49" fillId="19" borderId="38" xfId="0" applyNumberFormat="1" applyFont="1" applyFill="1" applyBorder="1" applyAlignment="1" applyProtection="1">
      <alignment vertical="center"/>
      <protection locked="0"/>
    </xf>
    <xf numFmtId="175" fontId="31" fillId="26" borderId="38" xfId="0" applyNumberFormat="1" applyFont="1" applyFill="1" applyBorder="1" applyAlignment="1">
      <alignment vertical="center"/>
    </xf>
    <xf numFmtId="0" fontId="31" fillId="0" borderId="37" xfId="0" applyFont="1" applyBorder="1" applyAlignment="1" applyProtection="1">
      <alignment vertical="center"/>
    </xf>
    <xf numFmtId="175" fontId="49" fillId="19" borderId="75" xfId="0" applyNumberFormat="1" applyFont="1" applyFill="1" applyBorder="1" applyAlignment="1" applyProtection="1">
      <alignment vertical="center"/>
      <protection locked="0"/>
    </xf>
    <xf numFmtId="175" fontId="49" fillId="19" borderId="74" xfId="0" applyNumberFormat="1" applyFont="1" applyFill="1" applyBorder="1" applyAlignment="1" applyProtection="1">
      <alignment vertical="center"/>
      <protection locked="0"/>
    </xf>
    <xf numFmtId="0" fontId="31" fillId="0" borderId="10" xfId="0" applyFont="1" applyBorder="1" applyAlignment="1" applyProtection="1">
      <alignment vertical="center"/>
    </xf>
    <xf numFmtId="175" fontId="49" fillId="19" borderId="73" xfId="0" applyNumberFormat="1" applyFont="1" applyFill="1" applyBorder="1" applyAlignment="1" applyProtection="1">
      <alignment vertical="center"/>
      <protection locked="0"/>
    </xf>
    <xf numFmtId="175" fontId="31" fillId="26" borderId="77" xfId="0" applyNumberFormat="1" applyFont="1" applyFill="1" applyBorder="1" applyAlignment="1">
      <alignment vertical="center"/>
    </xf>
    <xf numFmtId="0" fontId="58" fillId="0" borderId="0" xfId="0" applyFont="1" applyAlignment="1" applyProtection="1">
      <alignment vertical="center"/>
    </xf>
    <xf numFmtId="0" fontId="32" fillId="24" borderId="77" xfId="0" applyFont="1" applyFill="1" applyBorder="1" applyAlignment="1" applyProtection="1">
      <alignment horizontal="center" vertical="center" wrapText="1"/>
    </xf>
    <xf numFmtId="175" fontId="57" fillId="26" borderId="85" xfId="0" applyNumberFormat="1" applyFont="1" applyFill="1" applyBorder="1" applyAlignment="1">
      <alignment vertical="center"/>
    </xf>
    <xf numFmtId="175" fontId="57" fillId="26" borderId="38" xfId="0" applyNumberFormat="1" applyFont="1" applyFill="1" applyBorder="1" applyAlignment="1">
      <alignment vertical="center"/>
    </xf>
    <xf numFmtId="175" fontId="57" fillId="26" borderId="73" xfId="0" applyNumberFormat="1" applyFont="1" applyFill="1" applyBorder="1" applyAlignment="1">
      <alignment vertical="center"/>
    </xf>
    <xf numFmtId="175" fontId="57" fillId="26" borderId="75" xfId="0" applyNumberFormat="1" applyFont="1" applyFill="1" applyBorder="1" applyAlignment="1">
      <alignment vertical="center"/>
    </xf>
    <xf numFmtId="175" fontId="57" fillId="26" borderId="77" xfId="0" applyNumberFormat="1" applyFont="1" applyFill="1" applyBorder="1" applyAlignment="1">
      <alignment vertical="center"/>
    </xf>
    <xf numFmtId="175" fontId="0" fillId="26" borderId="77" xfId="0" applyNumberFormat="1" applyFill="1" applyBorder="1" applyAlignment="1">
      <alignment vertical="center"/>
    </xf>
    <xf numFmtId="0" fontId="32" fillId="0" borderId="0" xfId="0" applyFont="1" applyBorder="1" applyAlignment="1" applyProtection="1">
      <alignment vertical="center"/>
    </xf>
    <xf numFmtId="0" fontId="32" fillId="0" borderId="0" xfId="0" applyFont="1" applyBorder="1" applyAlignment="1" applyProtection="1">
      <alignment vertical="center" wrapText="1"/>
    </xf>
    <xf numFmtId="0" fontId="60" fillId="0" borderId="0" xfId="0" applyFont="1" applyFill="1" applyBorder="1" applyAlignment="1">
      <alignment vertical="center"/>
    </xf>
    <xf numFmtId="175" fontId="57" fillId="0" borderId="77" xfId="0" applyNumberFormat="1" applyFont="1" applyFill="1" applyBorder="1" applyAlignment="1">
      <alignment vertical="center"/>
    </xf>
    <xf numFmtId="175" fontId="31" fillId="0" borderId="38" xfId="0" applyNumberFormat="1" applyFont="1" applyFill="1" applyBorder="1" applyAlignment="1" applyProtection="1">
      <alignment vertical="center"/>
      <protection locked="0"/>
    </xf>
    <xf numFmtId="0" fontId="42" fillId="27" borderId="21" xfId="0" applyFont="1" applyFill="1" applyBorder="1" applyAlignment="1">
      <alignment vertical="center"/>
    </xf>
    <xf numFmtId="0" fontId="57" fillId="27" borderId="22" xfId="0" applyFont="1" applyFill="1" applyBorder="1" applyAlignment="1">
      <alignment vertical="center"/>
    </xf>
    <xf numFmtId="0" fontId="57" fillId="27" borderId="25" xfId="0" applyFont="1" applyFill="1" applyBorder="1" applyAlignment="1" applyProtection="1">
      <alignment horizontal="center" vertical="center" wrapText="1"/>
    </xf>
    <xf numFmtId="0" fontId="57" fillId="27" borderId="26" xfId="0" applyFont="1" applyFill="1" applyBorder="1" applyAlignment="1" applyProtection="1">
      <alignment horizontal="center" vertical="center" wrapText="1"/>
    </xf>
    <xf numFmtId="0" fontId="57" fillId="27" borderId="32" xfId="0" applyFont="1" applyFill="1" applyBorder="1" applyAlignment="1" applyProtection="1">
      <alignment horizontal="center" vertical="center" wrapText="1"/>
    </xf>
    <xf numFmtId="0" fontId="57" fillId="27" borderId="33" xfId="0" applyFont="1" applyFill="1" applyBorder="1" applyAlignment="1" applyProtection="1">
      <alignment horizontal="center" vertical="center" wrapText="1"/>
    </xf>
    <xf numFmtId="0" fontId="57" fillId="0" borderId="26" xfId="0" applyFont="1" applyBorder="1" applyAlignment="1">
      <alignment horizontal="center" vertical="center"/>
    </xf>
    <xf numFmtId="0" fontId="32" fillId="0" borderId="0" xfId="0" applyFont="1" applyAlignment="1">
      <alignment vertical="center"/>
    </xf>
    <xf numFmtId="0" fontId="2" fillId="0" borderId="0" xfId="0" applyFont="1" applyFill="1" applyBorder="1" applyAlignment="1">
      <alignment vertical="center"/>
    </xf>
    <xf numFmtId="0" fontId="33" fillId="0" borderId="0" xfId="0" applyFont="1" applyFill="1" applyBorder="1" applyAlignment="1">
      <alignment vertical="center"/>
    </xf>
    <xf numFmtId="0" fontId="2" fillId="0" borderId="0" xfId="0" applyFont="1" applyBorder="1" applyAlignment="1">
      <alignment vertical="center"/>
    </xf>
    <xf numFmtId="0" fontId="32" fillId="0" borderId="31" xfId="0" applyFont="1" applyBorder="1" applyAlignment="1">
      <alignment vertical="center"/>
    </xf>
    <xf numFmtId="0" fontId="32" fillId="0" borderId="0" xfId="0" applyFont="1" applyBorder="1" applyAlignment="1">
      <alignment vertical="center"/>
    </xf>
    <xf numFmtId="0" fontId="2" fillId="0" borderId="21" xfId="0" applyFont="1" applyBorder="1" applyAlignment="1">
      <alignment vertical="center"/>
    </xf>
    <xf numFmtId="0" fontId="32" fillId="0" borderId="0" xfId="0" applyFont="1" applyFill="1" applyBorder="1" applyAlignment="1">
      <alignment horizontal="left" vertical="center"/>
    </xf>
    <xf numFmtId="0" fontId="32" fillId="0" borderId="22" xfId="0" applyFont="1" applyBorder="1" applyAlignment="1" applyProtection="1">
      <alignment vertical="center"/>
    </xf>
    <xf numFmtId="0" fontId="2" fillId="0" borderId="22" xfId="0" applyFont="1" applyFill="1" applyBorder="1" applyAlignment="1">
      <alignment vertical="center"/>
    </xf>
    <xf numFmtId="0" fontId="2" fillId="0" borderId="22" xfId="0" applyFont="1" applyBorder="1" applyAlignment="1">
      <alignment horizontal="center" vertical="center"/>
    </xf>
    <xf numFmtId="0" fontId="2" fillId="0" borderId="23" xfId="0" applyFont="1" applyFill="1" applyBorder="1" applyAlignment="1">
      <alignment vertical="center"/>
    </xf>
    <xf numFmtId="0" fontId="2" fillId="0" borderId="27" xfId="0" applyFont="1" applyBorder="1" applyAlignment="1">
      <alignment vertical="center"/>
    </xf>
    <xf numFmtId="0" fontId="32" fillId="0" borderId="77" xfId="0" applyFont="1" applyFill="1" applyBorder="1" applyAlignment="1">
      <alignment horizontal="center" vertical="center"/>
    </xf>
    <xf numFmtId="0" fontId="2" fillId="0" borderId="28" xfId="0" applyFont="1" applyFill="1" applyBorder="1" applyAlignment="1">
      <alignment vertical="center"/>
    </xf>
    <xf numFmtId="0" fontId="2" fillId="0" borderId="27" xfId="0" applyFont="1" applyBorder="1" applyAlignment="1" applyProtection="1">
      <alignment vertical="center"/>
    </xf>
    <xf numFmtId="0" fontId="2" fillId="0" borderId="0" xfId="0" applyFont="1" applyFill="1" applyBorder="1" applyAlignment="1" applyProtection="1">
      <alignment vertical="center"/>
    </xf>
    <xf numFmtId="0" fontId="2" fillId="0" borderId="24" xfId="0" applyFont="1" applyFill="1" applyBorder="1" applyAlignment="1" applyProtection="1">
      <alignment vertical="center"/>
    </xf>
    <xf numFmtId="0" fontId="32" fillId="0" borderId="23" xfId="0" applyFont="1" applyFill="1" applyBorder="1" applyAlignment="1" applyProtection="1">
      <alignment horizontal="center" vertical="center"/>
    </xf>
    <xf numFmtId="0" fontId="33" fillId="0" borderId="27" xfId="0" applyFont="1" applyBorder="1" applyAlignment="1" applyProtection="1">
      <alignment vertical="center"/>
    </xf>
    <xf numFmtId="0" fontId="33" fillId="0" borderId="0" xfId="0" applyFont="1" applyBorder="1" applyAlignment="1" applyProtection="1">
      <alignment horizontal="left" vertical="center"/>
    </xf>
    <xf numFmtId="0" fontId="33" fillId="0" borderId="0" xfId="0" applyFont="1" applyFill="1" applyBorder="1" applyAlignment="1" applyProtection="1">
      <alignment vertical="center"/>
    </xf>
    <xf numFmtId="175" fontId="34" fillId="19" borderId="29" xfId="0" applyNumberFormat="1" applyFont="1" applyFill="1" applyBorder="1" applyAlignment="1" applyProtection="1">
      <alignment vertical="center"/>
      <protection locked="0"/>
    </xf>
    <xf numFmtId="175" fontId="33" fillId="0" borderId="28" xfId="0" applyNumberFormat="1" applyFont="1" applyFill="1" applyBorder="1" applyAlignment="1" applyProtection="1">
      <alignment vertical="center"/>
    </xf>
    <xf numFmtId="175" fontId="2" fillId="0" borderId="28" xfId="0" applyNumberFormat="1" applyFont="1" applyFill="1" applyBorder="1" applyAlignment="1">
      <alignment vertical="center"/>
    </xf>
    <xf numFmtId="175" fontId="2" fillId="0" borderId="0" xfId="0" applyNumberFormat="1" applyFont="1" applyFill="1" applyBorder="1" applyAlignment="1">
      <alignment vertical="center"/>
    </xf>
    <xf numFmtId="0" fontId="33" fillId="0" borderId="0" xfId="0" applyFont="1" applyFill="1" applyBorder="1" applyAlignment="1" applyProtection="1">
      <alignment horizontal="left" vertical="center"/>
    </xf>
    <xf numFmtId="175" fontId="34" fillId="19" borderId="74" xfId="0" applyNumberFormat="1" applyFont="1" applyFill="1" applyBorder="1" applyAlignment="1" applyProtection="1">
      <alignment vertical="center"/>
      <protection locked="0"/>
    </xf>
    <xf numFmtId="175" fontId="33" fillId="0" borderId="29" xfId="0" applyNumberFormat="1" applyFont="1" applyFill="1" applyBorder="1" applyAlignment="1" applyProtection="1">
      <alignment vertical="center"/>
    </xf>
    <xf numFmtId="175" fontId="34" fillId="0" borderId="28" xfId="0" applyNumberFormat="1" applyFont="1" applyFill="1" applyBorder="1" applyAlignment="1" applyProtection="1">
      <alignment vertical="center"/>
    </xf>
    <xf numFmtId="0" fontId="2" fillId="0" borderId="0" xfId="0" applyFont="1" applyBorder="1" applyAlignment="1" applyProtection="1">
      <alignment horizontal="left" vertical="center"/>
    </xf>
    <xf numFmtId="0" fontId="33" fillId="0" borderId="27" xfId="0" applyFont="1" applyBorder="1" applyAlignment="1">
      <alignment vertical="center"/>
    </xf>
    <xf numFmtId="175" fontId="33" fillId="0" borderId="77" xfId="0" applyNumberFormat="1" applyFont="1" applyFill="1" applyBorder="1" applyAlignment="1" applyProtection="1">
      <alignment vertical="center"/>
    </xf>
    <xf numFmtId="175" fontId="32" fillId="26" borderId="26" xfId="0" applyNumberFormat="1" applyFont="1" applyFill="1" applyBorder="1" applyAlignment="1" applyProtection="1">
      <alignment vertical="center"/>
    </xf>
    <xf numFmtId="0" fontId="2" fillId="0" borderId="30" xfId="0" applyFont="1" applyBorder="1" applyAlignment="1">
      <alignment vertical="center"/>
    </xf>
    <xf numFmtId="0" fontId="2" fillId="0" borderId="31" xfId="0" applyFont="1" applyFill="1" applyBorder="1" applyAlignment="1">
      <alignment vertical="center"/>
    </xf>
    <xf numFmtId="0" fontId="2" fillId="0" borderId="31" xfId="0" applyFont="1" applyBorder="1" applyAlignment="1">
      <alignment vertical="center"/>
    </xf>
    <xf numFmtId="175" fontId="2" fillId="0" borderId="31" xfId="0" applyNumberFormat="1" applyFont="1" applyFill="1" applyBorder="1" applyAlignment="1">
      <alignment vertical="center"/>
    </xf>
    <xf numFmtId="175" fontId="2" fillId="0" borderId="32" xfId="0" applyNumberFormat="1" applyFont="1" applyFill="1" applyBorder="1" applyAlignment="1">
      <alignment vertical="center"/>
    </xf>
    <xf numFmtId="0" fontId="32" fillId="0" borderId="0" xfId="0" applyFont="1" applyFill="1" applyBorder="1" applyAlignment="1">
      <alignment horizontal="right" vertical="center"/>
    </xf>
    <xf numFmtId="0" fontId="32" fillId="0" borderId="22" xfId="0" applyFont="1" applyFill="1" applyBorder="1" applyAlignment="1">
      <alignment horizontal="left" vertical="center"/>
    </xf>
    <xf numFmtId="0" fontId="2" fillId="0" borderId="22" xfId="0" applyFont="1" applyBorder="1" applyAlignment="1">
      <alignment vertical="center"/>
    </xf>
    <xf numFmtId="175" fontId="33" fillId="0" borderId="22" xfId="0" applyNumberFormat="1" applyFont="1" applyFill="1" applyBorder="1" applyAlignment="1">
      <alignment vertical="center"/>
    </xf>
    <xf numFmtId="175" fontId="2" fillId="0" borderId="22" xfId="0" applyNumberFormat="1" applyFont="1" applyFill="1" applyBorder="1" applyAlignment="1">
      <alignment vertical="center"/>
    </xf>
    <xf numFmtId="175" fontId="33" fillId="0" borderId="0" xfId="0" applyNumberFormat="1" applyFont="1" applyFill="1" applyBorder="1" applyAlignment="1">
      <alignment vertical="center"/>
    </xf>
    <xf numFmtId="0" fontId="2" fillId="0" borderId="27" xfId="0" applyFont="1" applyFill="1" applyBorder="1" applyAlignment="1">
      <alignment vertical="center"/>
    </xf>
    <xf numFmtId="175" fontId="32" fillId="0" borderId="77" xfId="0" applyNumberFormat="1" applyFont="1" applyFill="1" applyBorder="1" applyAlignment="1">
      <alignment horizontal="center" vertical="center"/>
    </xf>
    <xf numFmtId="175" fontId="33" fillId="0" borderId="0" xfId="0" applyNumberFormat="1" applyFont="1" applyBorder="1" applyAlignment="1" applyProtection="1">
      <alignment vertical="center"/>
    </xf>
    <xf numFmtId="175" fontId="49" fillId="19" borderId="29" xfId="0" applyNumberFormat="1" applyFont="1" applyFill="1" applyBorder="1" applyAlignment="1" applyProtection="1">
      <alignment vertical="center"/>
      <protection locked="0"/>
    </xf>
    <xf numFmtId="0" fontId="33" fillId="0" borderId="27" xfId="0" applyFont="1" applyFill="1" applyBorder="1" applyAlignment="1">
      <alignment vertical="center"/>
    </xf>
    <xf numFmtId="0" fontId="33" fillId="0" borderId="28" xfId="0" applyFont="1" applyFill="1" applyBorder="1" applyAlignment="1">
      <alignment vertical="center"/>
    </xf>
    <xf numFmtId="0" fontId="32" fillId="0" borderId="0" xfId="0" applyFont="1" applyBorder="1" applyAlignment="1" applyProtection="1">
      <alignment horizontal="right" vertical="center"/>
    </xf>
    <xf numFmtId="175" fontId="57" fillId="26" borderId="90" xfId="0" applyNumberFormat="1" applyFont="1" applyFill="1" applyBorder="1" applyAlignment="1" applyProtection="1">
      <alignment vertical="center"/>
      <protection locked="0"/>
    </xf>
    <xf numFmtId="0" fontId="32" fillId="0" borderId="56" xfId="0" applyFont="1" applyBorder="1" applyAlignment="1">
      <alignment horizontal="center" vertical="center" wrapText="1"/>
    </xf>
    <xf numFmtId="0" fontId="32" fillId="0" borderId="57" xfId="0" applyFont="1" applyBorder="1" applyAlignment="1">
      <alignment horizontal="center" vertical="center" wrapText="1"/>
    </xf>
    <xf numFmtId="176" fontId="32" fillId="0" borderId="60" xfId="0" applyNumberFormat="1" applyFont="1" applyBorder="1" applyAlignment="1">
      <alignment horizontal="center" vertical="center"/>
    </xf>
    <xf numFmtId="176" fontId="32" fillId="0" borderId="59" xfId="0" applyNumberFormat="1" applyFont="1" applyBorder="1" applyAlignment="1">
      <alignment horizontal="center" vertical="center"/>
    </xf>
    <xf numFmtId="176" fontId="61" fillId="19" borderId="27" xfId="0" applyNumberFormat="1" applyFont="1" applyFill="1" applyBorder="1" applyAlignment="1" applyProtection="1">
      <alignment horizontal="center" vertical="center"/>
      <protection locked="0"/>
    </xf>
    <xf numFmtId="176" fontId="61" fillId="19" borderId="17" xfId="0" applyNumberFormat="1" applyFont="1" applyFill="1" applyBorder="1" applyAlignment="1" applyProtection="1">
      <alignment horizontal="center" vertical="center"/>
      <protection locked="0"/>
    </xf>
    <xf numFmtId="175" fontId="49" fillId="19" borderId="16" xfId="0" applyNumberFormat="1" applyFont="1" applyFill="1" applyBorder="1" applyAlignment="1" applyProtection="1">
      <alignment horizontal="right" vertical="center"/>
      <protection locked="0"/>
    </xf>
    <xf numFmtId="175" fontId="31" fillId="26" borderId="45" xfId="80" applyNumberFormat="1" applyFont="1" applyFill="1" applyBorder="1" applyAlignment="1">
      <alignment vertical="center"/>
    </xf>
    <xf numFmtId="175" fontId="31" fillId="26" borderId="62" xfId="80" applyNumberFormat="1" applyFont="1" applyFill="1" applyBorder="1" applyAlignment="1">
      <alignment vertical="center"/>
    </xf>
    <xf numFmtId="176" fontId="62" fillId="19" borderId="73" xfId="0" applyNumberFormat="1" applyFont="1" applyFill="1" applyBorder="1" applyAlignment="1" applyProtection="1">
      <alignment horizontal="left" vertical="center"/>
      <protection locked="0"/>
    </xf>
    <xf numFmtId="176" fontId="62" fillId="19" borderId="29" xfId="0" applyNumberFormat="1" applyFont="1" applyFill="1" applyBorder="1" applyAlignment="1" applyProtection="1">
      <alignment horizontal="left" vertical="center"/>
      <protection locked="0"/>
    </xf>
    <xf numFmtId="175" fontId="34" fillId="19" borderId="16" xfId="0" applyNumberFormat="1" applyFont="1" applyFill="1" applyBorder="1" applyAlignment="1" applyProtection="1">
      <alignment horizontal="right" vertical="center"/>
      <protection locked="0"/>
    </xf>
    <xf numFmtId="175" fontId="33" fillId="26" borderId="45" xfId="80" applyNumberFormat="1" applyFont="1" applyFill="1" applyBorder="1" applyAlignment="1">
      <alignment vertical="center"/>
    </xf>
    <xf numFmtId="175" fontId="33" fillId="26" borderId="62" xfId="80" applyNumberFormat="1" applyFont="1" applyFill="1" applyBorder="1" applyAlignment="1">
      <alignment vertical="center"/>
    </xf>
    <xf numFmtId="176" fontId="62" fillId="19" borderId="33" xfId="0" applyNumberFormat="1" applyFont="1" applyFill="1" applyBorder="1" applyAlignment="1" applyProtection="1">
      <alignment horizontal="left" vertical="center"/>
      <protection locked="0"/>
    </xf>
    <xf numFmtId="175" fontId="32" fillId="26" borderId="75" xfId="0" applyNumberFormat="1" applyFont="1" applyFill="1" applyBorder="1" applyAlignment="1" applyProtection="1">
      <alignment vertical="center"/>
    </xf>
    <xf numFmtId="0" fontId="55" fillId="0" borderId="0" xfId="0" applyFont="1" applyFill="1" applyBorder="1" applyAlignment="1">
      <alignment horizontal="center" vertical="center"/>
    </xf>
    <xf numFmtId="0" fontId="33" fillId="0" borderId="0" xfId="0" applyFont="1" applyBorder="1" applyAlignment="1">
      <alignment horizontal="left" vertical="center"/>
    </xf>
    <xf numFmtId="175" fontId="33" fillId="0" borderId="28" xfId="0" applyNumberFormat="1" applyFont="1" applyFill="1" applyBorder="1" applyAlignment="1">
      <alignment vertical="center"/>
    </xf>
    <xf numFmtId="0" fontId="33" fillId="0" borderId="25" xfId="0" applyFont="1" applyFill="1" applyBorder="1" applyAlignment="1">
      <alignment vertical="center"/>
    </xf>
    <xf numFmtId="175" fontId="33" fillId="0" borderId="77" xfId="0" applyNumberFormat="1" applyFont="1" applyFill="1" applyBorder="1" applyAlignment="1">
      <alignment horizontal="center" vertical="center" wrapText="1"/>
    </xf>
    <xf numFmtId="175" fontId="34" fillId="20" borderId="24" xfId="0" applyNumberFormat="1" applyFont="1" applyFill="1" applyBorder="1" applyAlignment="1" applyProtection="1">
      <alignment vertical="center"/>
    </xf>
    <xf numFmtId="175" fontId="34" fillId="19" borderId="33" xfId="0" applyNumberFormat="1" applyFont="1" applyFill="1" applyBorder="1" applyAlignment="1" applyProtection="1">
      <alignment vertical="center"/>
      <protection locked="0"/>
    </xf>
    <xf numFmtId="175" fontId="32" fillId="26" borderId="90" xfId="0" applyNumberFormat="1" applyFont="1" applyFill="1" applyBorder="1" applyAlignment="1" applyProtection="1">
      <alignment vertical="center"/>
    </xf>
    <xf numFmtId="175" fontId="63" fillId="0" borderId="77" xfId="0" applyNumberFormat="1" applyFont="1" applyFill="1" applyBorder="1" applyAlignment="1">
      <alignment horizontal="center" vertical="center"/>
    </xf>
    <xf numFmtId="175" fontId="63" fillId="0" borderId="77" xfId="0" applyNumberFormat="1" applyFont="1" applyFill="1" applyBorder="1" applyAlignment="1">
      <alignment horizontal="center" vertical="center" textRotation="90" wrapText="1"/>
    </xf>
    <xf numFmtId="175" fontId="33" fillId="26" borderId="24" xfId="0" applyNumberFormat="1" applyFont="1" applyFill="1" applyBorder="1" applyAlignment="1" applyProtection="1">
      <alignment vertical="center"/>
    </xf>
    <xf numFmtId="175" fontId="34" fillId="19" borderId="41" xfId="0" applyNumberFormat="1" applyFont="1" applyFill="1" applyBorder="1" applyAlignment="1" applyProtection="1">
      <alignment vertical="center"/>
      <protection locked="0"/>
    </xf>
    <xf numFmtId="175" fontId="34" fillId="19" borderId="86" xfId="0" applyNumberFormat="1" applyFont="1" applyFill="1" applyBorder="1" applyAlignment="1" applyProtection="1">
      <alignment vertical="center"/>
      <protection locked="0"/>
    </xf>
    <xf numFmtId="175" fontId="34" fillId="19" borderId="51" xfId="0" applyNumberFormat="1" applyFont="1" applyFill="1" applyBorder="1" applyAlignment="1" applyProtection="1">
      <alignment vertical="center"/>
      <protection locked="0"/>
    </xf>
    <xf numFmtId="175" fontId="33" fillId="26" borderId="33" xfId="0" applyNumberFormat="1" applyFont="1" applyFill="1" applyBorder="1" applyAlignment="1" applyProtection="1">
      <alignment vertical="center"/>
    </xf>
    <xf numFmtId="175" fontId="34" fillId="19" borderId="48" xfId="0" applyNumberFormat="1" applyFont="1" applyFill="1" applyBorder="1" applyAlignment="1" applyProtection="1">
      <alignment vertical="center"/>
      <protection locked="0"/>
    </xf>
    <xf numFmtId="175" fontId="34" fillId="19" borderId="87" xfId="0" applyNumberFormat="1" applyFont="1" applyFill="1" applyBorder="1" applyAlignment="1" applyProtection="1">
      <alignment vertical="center"/>
      <protection locked="0"/>
    </xf>
    <xf numFmtId="175" fontId="34" fillId="19" borderId="63" xfId="0" applyNumberFormat="1" applyFont="1" applyFill="1" applyBorder="1" applyAlignment="1" applyProtection="1">
      <alignment vertical="center"/>
      <protection locked="0"/>
    </xf>
    <xf numFmtId="175" fontId="63" fillId="0" borderId="24" xfId="0" applyNumberFormat="1" applyFont="1" applyFill="1" applyBorder="1" applyAlignment="1">
      <alignment horizontal="center" vertical="center"/>
    </xf>
    <xf numFmtId="175" fontId="63" fillId="0" borderId="24" xfId="0" applyNumberFormat="1" applyFont="1" applyFill="1" applyBorder="1" applyAlignment="1">
      <alignment horizontal="center" vertical="center" textRotation="90" wrapText="1"/>
    </xf>
    <xf numFmtId="175" fontId="31" fillId="26" borderId="29" xfId="0" applyNumberFormat="1" applyFont="1" applyFill="1" applyBorder="1" applyAlignment="1" applyProtection="1">
      <alignment vertical="center"/>
    </xf>
    <xf numFmtId="175" fontId="49" fillId="19" borderId="44" xfId="0" applyNumberFormat="1" applyFont="1" applyFill="1" applyBorder="1" applyAlignment="1" applyProtection="1">
      <alignment vertical="center"/>
      <protection locked="0"/>
    </xf>
    <xf numFmtId="175" fontId="49" fillId="19" borderId="17" xfId="0" applyNumberFormat="1" applyFont="1" applyFill="1" applyBorder="1" applyAlignment="1" applyProtection="1">
      <alignment vertical="center"/>
      <protection locked="0"/>
    </xf>
    <xf numFmtId="175" fontId="34" fillId="19" borderId="45" xfId="0" applyNumberFormat="1" applyFont="1" applyFill="1" applyBorder="1" applyAlignment="1" applyProtection="1">
      <alignment vertical="center"/>
      <protection locked="0"/>
    </xf>
    <xf numFmtId="175" fontId="34" fillId="19" borderId="28" xfId="0" applyNumberFormat="1" applyFont="1" applyFill="1" applyBorder="1" applyAlignment="1" applyProtection="1">
      <alignment vertical="center"/>
      <protection locked="0"/>
    </xf>
    <xf numFmtId="175" fontId="33" fillId="26" borderId="29" xfId="0" applyNumberFormat="1" applyFont="1" applyFill="1" applyBorder="1" applyAlignment="1" applyProtection="1">
      <alignment vertical="center"/>
    </xf>
    <xf numFmtId="175" fontId="34" fillId="19" borderId="44" xfId="0" applyNumberFormat="1" applyFont="1" applyFill="1" applyBorder="1" applyAlignment="1" applyProtection="1">
      <alignment vertical="center"/>
      <protection locked="0"/>
    </xf>
    <xf numFmtId="175" fontId="34" fillId="19" borderId="17" xfId="0" applyNumberFormat="1" applyFont="1" applyFill="1" applyBorder="1" applyAlignment="1" applyProtection="1">
      <alignment vertical="center"/>
      <protection locked="0"/>
    </xf>
    <xf numFmtId="175" fontId="34" fillId="19" borderId="58" xfId="0" applyNumberFormat="1" applyFont="1" applyFill="1" applyBorder="1" applyAlignment="1" applyProtection="1">
      <alignment vertical="center"/>
      <protection locked="0"/>
    </xf>
    <xf numFmtId="175" fontId="34" fillId="19" borderId="20" xfId="0" applyNumberFormat="1" applyFont="1" applyFill="1" applyBorder="1" applyAlignment="1" applyProtection="1">
      <alignment vertical="center"/>
      <protection locked="0"/>
    </xf>
    <xf numFmtId="175" fontId="34" fillId="19" borderId="60" xfId="0" applyNumberFormat="1" applyFont="1" applyFill="1" applyBorder="1" applyAlignment="1" applyProtection="1">
      <alignment vertical="center"/>
      <protection locked="0"/>
    </xf>
    <xf numFmtId="175" fontId="34" fillId="19" borderId="65" xfId="0" applyNumberFormat="1" applyFont="1" applyFill="1" applyBorder="1" applyAlignment="1" applyProtection="1">
      <alignment vertical="center"/>
      <protection locked="0"/>
    </xf>
    <xf numFmtId="0" fontId="33" fillId="0" borderId="30" xfId="0" applyFont="1" applyBorder="1" applyAlignment="1">
      <alignment vertical="center"/>
    </xf>
    <xf numFmtId="0" fontId="33" fillId="0" borderId="31" xfId="0" applyFont="1" applyBorder="1" applyAlignment="1">
      <alignment vertical="center"/>
    </xf>
    <xf numFmtId="0" fontId="32" fillId="0" borderId="31" xfId="0" applyFont="1" applyBorder="1" applyAlignment="1" applyProtection="1">
      <alignment horizontal="right" vertical="center"/>
    </xf>
    <xf numFmtId="0" fontId="33" fillId="0" borderId="31" xfId="0" applyFont="1" applyFill="1" applyBorder="1" applyAlignment="1">
      <alignment vertical="center"/>
    </xf>
    <xf numFmtId="0" fontId="55" fillId="0" borderId="31" xfId="0" quotePrefix="1" applyFont="1" applyBorder="1" applyAlignment="1" applyProtection="1">
      <alignment horizontal="center" vertical="center"/>
    </xf>
    <xf numFmtId="0" fontId="55" fillId="0" borderId="31" xfId="0" applyFont="1" applyBorder="1" applyAlignment="1" applyProtection="1">
      <alignment horizontal="center" vertical="center"/>
    </xf>
    <xf numFmtId="0" fontId="32" fillId="0" borderId="32" xfId="0" applyFont="1" applyBorder="1" applyAlignment="1" applyProtection="1">
      <alignment horizontal="right" vertical="center"/>
    </xf>
    <xf numFmtId="0" fontId="33" fillId="0" borderId="22" xfId="0" applyFont="1" applyBorder="1" applyAlignment="1" applyProtection="1">
      <alignment horizontal="left" vertical="center"/>
    </xf>
    <xf numFmtId="0" fontId="33" fillId="0" borderId="23" xfId="0" applyFont="1" applyFill="1" applyBorder="1" applyAlignment="1">
      <alignment vertical="center"/>
    </xf>
    <xf numFmtId="0" fontId="32" fillId="0" borderId="0" xfId="0" applyFont="1" applyFill="1" applyBorder="1" applyAlignment="1">
      <alignment vertical="center"/>
    </xf>
    <xf numFmtId="175" fontId="33" fillId="28" borderId="29" xfId="0" applyNumberFormat="1" applyFont="1" applyFill="1" applyBorder="1" applyAlignment="1" applyProtection="1">
      <alignment vertical="center"/>
    </xf>
    <xf numFmtId="175" fontId="34" fillId="28" borderId="44" xfId="0" applyNumberFormat="1" applyFont="1" applyFill="1" applyBorder="1" applyAlignment="1" applyProtection="1">
      <alignment vertical="center"/>
    </xf>
    <xf numFmtId="175" fontId="34" fillId="28" borderId="17" xfId="0" applyNumberFormat="1" applyFont="1" applyFill="1" applyBorder="1" applyAlignment="1" applyProtection="1">
      <alignment vertical="center"/>
    </xf>
    <xf numFmtId="175" fontId="34" fillId="28" borderId="45" xfId="0" applyNumberFormat="1" applyFont="1" applyFill="1" applyBorder="1" applyAlignment="1" applyProtection="1">
      <alignment vertical="center"/>
    </xf>
    <xf numFmtId="175" fontId="34" fillId="28" borderId="28" xfId="0" applyNumberFormat="1" applyFont="1" applyFill="1" applyBorder="1" applyAlignment="1" applyProtection="1">
      <alignment vertical="center"/>
    </xf>
    <xf numFmtId="175" fontId="34" fillId="28" borderId="58" xfId="0" applyNumberFormat="1" applyFont="1" applyFill="1" applyBorder="1" applyAlignment="1" applyProtection="1">
      <alignment vertical="center"/>
    </xf>
    <xf numFmtId="175" fontId="34" fillId="28" borderId="20" xfId="0" applyNumberFormat="1" applyFont="1" applyFill="1" applyBorder="1" applyAlignment="1" applyProtection="1">
      <alignment vertical="center"/>
    </xf>
    <xf numFmtId="175" fontId="34" fillId="28" borderId="60" xfId="0" applyNumberFormat="1" applyFont="1" applyFill="1" applyBorder="1" applyAlignment="1" applyProtection="1">
      <alignment vertical="center"/>
    </xf>
    <xf numFmtId="175" fontId="34" fillId="28" borderId="65" xfId="0" applyNumberFormat="1" applyFont="1" applyFill="1" applyBorder="1" applyAlignment="1" applyProtection="1">
      <alignment vertical="center"/>
    </xf>
    <xf numFmtId="0" fontId="32" fillId="0" borderId="0" xfId="0" applyFont="1" applyBorder="1" applyAlignment="1" applyProtection="1">
      <alignment horizontal="left" vertical="center"/>
    </xf>
    <xf numFmtId="175" fontId="32" fillId="28" borderId="75" xfId="0" applyNumberFormat="1" applyFont="1" applyFill="1" applyBorder="1" applyAlignment="1" applyProtection="1">
      <alignment vertical="center"/>
    </xf>
    <xf numFmtId="175" fontId="63" fillId="0" borderId="0" xfId="0" applyNumberFormat="1" applyFont="1" applyFill="1" applyBorder="1" applyAlignment="1">
      <alignment vertical="center"/>
    </xf>
    <xf numFmtId="175" fontId="33" fillId="26" borderId="77" xfId="0" applyNumberFormat="1" applyFont="1" applyFill="1" applyBorder="1" applyAlignment="1" applyProtection="1">
      <alignment vertical="center"/>
    </xf>
    <xf numFmtId="175" fontId="34" fillId="20" borderId="81" xfId="0" applyNumberFormat="1" applyFont="1" applyFill="1" applyBorder="1" applyAlignment="1" applyProtection="1">
      <alignment vertical="center"/>
    </xf>
    <xf numFmtId="175" fontId="34" fillId="19" borderId="81" xfId="0" applyNumberFormat="1" applyFont="1" applyFill="1" applyBorder="1" applyAlignment="1" applyProtection="1">
      <alignment vertical="center"/>
      <protection locked="0"/>
    </xf>
    <xf numFmtId="175" fontId="34" fillId="20" borderId="82" xfId="0" applyNumberFormat="1" applyFont="1" applyFill="1" applyBorder="1" applyAlignment="1" applyProtection="1">
      <alignment vertical="center"/>
    </xf>
    <xf numFmtId="175" fontId="34" fillId="20" borderId="26" xfId="0" applyNumberFormat="1" applyFont="1" applyFill="1" applyBorder="1" applyAlignment="1" applyProtection="1">
      <alignment vertical="center"/>
    </xf>
    <xf numFmtId="0" fontId="33" fillId="0" borderId="31" xfId="0" applyFont="1" applyBorder="1" applyAlignment="1">
      <alignment horizontal="left" vertical="center"/>
    </xf>
    <xf numFmtId="175" fontId="33" fillId="0" borderId="31" xfId="0" applyNumberFormat="1" applyFont="1" applyFill="1" applyBorder="1" applyAlignment="1">
      <alignment vertical="center"/>
    </xf>
    <xf numFmtId="175" fontId="63" fillId="0" borderId="31" xfId="0" applyNumberFormat="1" applyFont="1" applyFill="1" applyBorder="1" applyAlignment="1">
      <alignment vertical="center"/>
    </xf>
    <xf numFmtId="0" fontId="33" fillId="0" borderId="32" xfId="0" applyFont="1" applyFill="1" applyBorder="1" applyAlignment="1">
      <alignment vertical="center"/>
    </xf>
    <xf numFmtId="0" fontId="33" fillId="0" borderId="21" xfId="0" applyFont="1" applyBorder="1" applyAlignment="1">
      <alignment vertical="center"/>
    </xf>
    <xf numFmtId="0" fontId="33" fillId="0" borderId="22" xfId="0" applyFont="1" applyBorder="1" applyAlignment="1">
      <alignment vertical="center"/>
    </xf>
    <xf numFmtId="0" fontId="33" fillId="0" borderId="22" xfId="0" applyFont="1" applyBorder="1" applyAlignment="1">
      <alignment horizontal="left" vertical="center"/>
    </xf>
    <xf numFmtId="0" fontId="33" fillId="0" borderId="22" xfId="0" applyFont="1" applyFill="1" applyBorder="1" applyAlignment="1">
      <alignment vertical="center"/>
    </xf>
    <xf numFmtId="175" fontId="63" fillId="0" borderId="22" xfId="0" applyNumberFormat="1" applyFont="1" applyFill="1" applyBorder="1" applyAlignment="1">
      <alignment vertical="center"/>
    </xf>
    <xf numFmtId="175" fontId="33" fillId="0" borderId="23" xfId="0" applyNumberFormat="1" applyFont="1" applyFill="1" applyBorder="1" applyAlignment="1">
      <alignment vertical="center"/>
    </xf>
    <xf numFmtId="175" fontId="34" fillId="0" borderId="77" xfId="0" applyNumberFormat="1" applyFont="1" applyFill="1" applyBorder="1" applyAlignment="1" applyProtection="1">
      <alignment vertical="center"/>
      <protection locked="0"/>
    </xf>
    <xf numFmtId="175" fontId="34" fillId="19" borderId="77" xfId="0" applyNumberFormat="1" applyFont="1" applyFill="1" applyBorder="1" applyAlignment="1" applyProtection="1">
      <alignment vertical="center"/>
      <protection locked="0"/>
    </xf>
    <xf numFmtId="0" fontId="32" fillId="0" borderId="0" xfId="0" applyFont="1" applyBorder="1" applyAlignment="1">
      <alignment horizontal="left" vertical="center"/>
    </xf>
    <xf numFmtId="175" fontId="32" fillId="0" borderId="28" xfId="0" applyNumberFormat="1" applyFont="1" applyFill="1" applyBorder="1" applyAlignment="1">
      <alignment horizontal="center" vertical="center"/>
    </xf>
    <xf numFmtId="175" fontId="32" fillId="0" borderId="0" xfId="0" applyNumberFormat="1" applyFont="1" applyFill="1" applyBorder="1" applyAlignment="1">
      <alignment horizontal="center" vertical="center"/>
    </xf>
    <xf numFmtId="175" fontId="34" fillId="19" borderId="91" xfId="0" applyNumberFormat="1" applyFont="1" applyFill="1" applyBorder="1" applyAlignment="1" applyProtection="1">
      <alignment vertical="center"/>
      <protection locked="0"/>
    </xf>
    <xf numFmtId="0" fontId="34" fillId="19" borderId="92" xfId="0" applyFont="1" applyFill="1" applyBorder="1" applyAlignment="1" applyProtection="1">
      <alignment vertical="center"/>
      <protection locked="0"/>
    </xf>
    <xf numFmtId="175" fontId="34" fillId="0" borderId="28" xfId="0" applyNumberFormat="1" applyFont="1" applyFill="1" applyBorder="1" applyAlignment="1" applyProtection="1">
      <alignment vertical="center"/>
      <protection locked="0"/>
    </xf>
    <xf numFmtId="175" fontId="34" fillId="0" borderId="0" xfId="0" applyNumberFormat="1" applyFont="1" applyFill="1" applyBorder="1" applyAlignment="1" applyProtection="1">
      <alignment vertical="center"/>
      <protection locked="0"/>
    </xf>
    <xf numFmtId="0" fontId="33" fillId="0" borderId="0" xfId="0" applyFont="1" applyFill="1" applyBorder="1" applyAlignment="1">
      <alignment horizontal="left" vertical="center"/>
    </xf>
    <xf numFmtId="175" fontId="33" fillId="0" borderId="0" xfId="0" applyNumberFormat="1" applyFont="1" applyFill="1" applyBorder="1" applyAlignment="1" applyProtection="1">
      <alignment vertical="center"/>
      <protection locked="0"/>
    </xf>
    <xf numFmtId="175" fontId="33" fillId="0" borderId="28" xfId="0" applyNumberFormat="1" applyFont="1" applyFill="1" applyBorder="1" applyAlignment="1" applyProtection="1">
      <alignment vertical="center"/>
      <protection locked="0"/>
    </xf>
    <xf numFmtId="175" fontId="33" fillId="20" borderId="64" xfId="0" applyNumberFormat="1" applyFont="1" applyFill="1" applyBorder="1" applyAlignment="1" applyProtection="1">
      <alignment vertical="center"/>
      <protection locked="0"/>
    </xf>
    <xf numFmtId="175" fontId="32" fillId="0" borderId="28" xfId="0" applyNumberFormat="1" applyFont="1" applyFill="1" applyBorder="1" applyAlignment="1" applyProtection="1">
      <alignment vertical="center"/>
    </xf>
    <xf numFmtId="175" fontId="32" fillId="0" borderId="0" xfId="0" applyNumberFormat="1" applyFont="1" applyFill="1" applyBorder="1" applyAlignment="1" applyProtection="1">
      <alignment vertical="center"/>
    </xf>
    <xf numFmtId="0" fontId="64" fillId="0" borderId="0" xfId="0" applyFont="1" applyBorder="1"/>
    <xf numFmtId="0" fontId="43" fillId="0" borderId="0" xfId="0" applyFont="1" applyBorder="1"/>
    <xf numFmtId="0" fontId="65" fillId="0" borderId="0" xfId="0" applyFont="1" applyBorder="1"/>
    <xf numFmtId="0" fontId="66" fillId="0" borderId="0" xfId="0" applyFont="1" applyFill="1" applyBorder="1" applyAlignment="1">
      <alignment vertical="top" wrapText="1"/>
    </xf>
    <xf numFmtId="0" fontId="43" fillId="0" borderId="0" xfId="0" applyFont="1" applyFill="1" applyBorder="1" applyAlignment="1">
      <alignment vertical="top" wrapText="1"/>
    </xf>
    <xf numFmtId="0" fontId="65" fillId="0" borderId="0" xfId="0" applyFont="1" applyFill="1" applyBorder="1" applyAlignment="1">
      <alignment vertical="top" wrapText="1"/>
    </xf>
    <xf numFmtId="0" fontId="66" fillId="0" borderId="0" xfId="0" applyFont="1" applyBorder="1"/>
    <xf numFmtId="1" fontId="31" fillId="0" borderId="0" xfId="82" applyNumberFormat="1" applyFont="1" applyProtection="1"/>
    <xf numFmtId="1" fontId="31" fillId="0" borderId="0" xfId="82" applyNumberFormat="1" applyFont="1" applyAlignment="1" applyProtection="1">
      <alignment horizontal="center"/>
    </xf>
    <xf numFmtId="0" fontId="31" fillId="0" borderId="0" xfId="62" applyFont="1" applyProtection="1"/>
    <xf numFmtId="0" fontId="31" fillId="0" borderId="0" xfId="69" applyFont="1" applyFill="1" applyBorder="1" applyAlignment="1" applyProtection="1">
      <alignment horizontal="left" vertical="center"/>
    </xf>
    <xf numFmtId="0" fontId="31" fillId="0" borderId="0" xfId="69" applyFont="1" applyFill="1" applyBorder="1" applyAlignment="1" applyProtection="1">
      <alignment horizontal="center" vertical="center"/>
    </xf>
    <xf numFmtId="0" fontId="31" fillId="0" borderId="21" xfId="69" applyFont="1" applyFill="1" applyBorder="1" applyAlignment="1" applyProtection="1">
      <alignment horizontal="left" vertical="center"/>
    </xf>
    <xf numFmtId="0" fontId="57" fillId="0" borderId="21" xfId="69" applyFont="1" applyFill="1" applyBorder="1" applyAlignment="1" applyProtection="1">
      <alignment horizontal="center" vertical="center"/>
    </xf>
    <xf numFmtId="0" fontId="57" fillId="0" borderId="24" xfId="69" applyFont="1" applyFill="1" applyBorder="1" applyAlignment="1" applyProtection="1">
      <alignment horizontal="center" vertical="center"/>
    </xf>
    <xf numFmtId="0" fontId="57" fillId="0" borderId="21" xfId="69" applyFont="1" applyFill="1" applyBorder="1" applyAlignment="1" applyProtection="1">
      <alignment horizontal="left" vertical="center"/>
    </xf>
    <xf numFmtId="1" fontId="31" fillId="0" borderId="24" xfId="62" applyNumberFormat="1" applyFont="1" applyFill="1" applyBorder="1" applyAlignment="1" applyProtection="1">
      <alignment horizontal="center"/>
    </xf>
    <xf numFmtId="0" fontId="31" fillId="0" borderId="29" xfId="69" applyFont="1" applyFill="1" applyBorder="1" applyAlignment="1" applyProtection="1">
      <alignment horizontal="left" vertical="center" indent="1"/>
    </xf>
    <xf numFmtId="0" fontId="0" fillId="0" borderId="29" xfId="0" applyBorder="1" applyAlignment="1">
      <alignment horizontal="center"/>
    </xf>
    <xf numFmtId="0" fontId="31" fillId="9" borderId="46" xfId="69" applyFont="1" applyFill="1" applyBorder="1" applyAlignment="1" applyProtection="1">
      <alignment horizontal="center" vertical="center"/>
    </xf>
    <xf numFmtId="0" fontId="31" fillId="9" borderId="47" xfId="69" applyFont="1" applyFill="1" applyBorder="1" applyAlignment="1" applyProtection="1">
      <alignment horizontal="center" vertical="center"/>
    </xf>
    <xf numFmtId="0" fontId="49" fillId="19" borderId="47" xfId="69" applyFont="1" applyFill="1" applyBorder="1" applyAlignment="1" applyProtection="1">
      <alignment horizontal="center" vertical="center"/>
      <protection locked="0"/>
    </xf>
    <xf numFmtId="0" fontId="49" fillId="19" borderId="61" xfId="69" applyFont="1" applyFill="1" applyBorder="1" applyAlignment="1" applyProtection="1">
      <alignment horizontal="center" vertical="center"/>
      <protection locked="0"/>
    </xf>
    <xf numFmtId="172" fontId="49" fillId="0" borderId="33" xfId="62" applyNumberFormat="1" applyFont="1" applyFill="1" applyBorder="1" applyProtection="1"/>
    <xf numFmtId="1" fontId="57" fillId="0" borderId="30" xfId="62" applyNumberFormat="1" applyFont="1" applyBorder="1" applyProtection="1"/>
    <xf numFmtId="1" fontId="57" fillId="0" borderId="31" xfId="62" applyNumberFormat="1" applyFont="1" applyBorder="1" applyProtection="1"/>
    <xf numFmtId="1" fontId="57" fillId="0" borderId="32" xfId="62" applyNumberFormat="1" applyFont="1" applyBorder="1" applyProtection="1"/>
    <xf numFmtId="0" fontId="57" fillId="0" borderId="24" xfId="69" applyFont="1" applyFill="1" applyBorder="1" applyAlignment="1" applyProtection="1">
      <alignment horizontal="left" vertical="center"/>
    </xf>
    <xf numFmtId="0" fontId="31" fillId="0" borderId="27" xfId="69" applyFont="1" applyFill="1" applyBorder="1" applyAlignment="1" applyProtection="1">
      <alignment horizontal="center" vertical="center"/>
    </xf>
    <xf numFmtId="0" fontId="65" fillId="0" borderId="28" xfId="0" applyFont="1" applyBorder="1"/>
    <xf numFmtId="0" fontId="0" fillId="0" borderId="29" xfId="0" applyBorder="1" applyAlignment="1"/>
    <xf numFmtId="0" fontId="32" fillId="0" borderId="27" xfId="0" applyFont="1" applyFill="1" applyBorder="1" applyAlignment="1" applyProtection="1"/>
    <xf numFmtId="0" fontId="31" fillId="0" borderId="28" xfId="69" applyFont="1" applyFill="1" applyBorder="1" applyAlignment="1" applyProtection="1">
      <alignment horizontal="center" vertical="center"/>
    </xf>
    <xf numFmtId="172" fontId="33" fillId="26" borderId="84" xfId="0" applyNumberFormat="1" applyFont="1" applyFill="1" applyBorder="1" applyAlignment="1" applyProtection="1">
      <alignment horizontal="right"/>
    </xf>
    <xf numFmtId="172" fontId="33" fillId="26" borderId="81" xfId="0" applyNumberFormat="1" applyFont="1" applyFill="1" applyBorder="1" applyAlignment="1" applyProtection="1">
      <alignment horizontal="right"/>
    </xf>
    <xf numFmtId="172" fontId="33" fillId="26" borderId="26" xfId="0" applyNumberFormat="1" applyFont="1" applyFill="1" applyBorder="1" applyAlignment="1" applyProtection="1">
      <alignment horizontal="right"/>
    </xf>
    <xf numFmtId="0" fontId="0" fillId="0" borderId="27" xfId="0" applyBorder="1" applyAlignment="1"/>
    <xf numFmtId="0" fontId="0" fillId="0" borderId="0" xfId="0" applyBorder="1" applyAlignment="1"/>
    <xf numFmtId="0" fontId="0" fillId="0" borderId="28" xfId="0" applyBorder="1" applyAlignment="1"/>
    <xf numFmtId="164" fontId="31" fillId="0" borderId="47" xfId="69" applyNumberFormat="1" applyFont="1" applyFill="1" applyBorder="1" applyAlignment="1" applyProtection="1">
      <alignment horizontal="right" vertical="center"/>
    </xf>
    <xf numFmtId="164" fontId="31" fillId="0" borderId="61" xfId="69" applyNumberFormat="1" applyFont="1" applyFill="1" applyBorder="1" applyAlignment="1" applyProtection="1">
      <alignment horizontal="right" vertical="center"/>
    </xf>
    <xf numFmtId="0" fontId="0" fillId="0" borderId="47" xfId="0" applyBorder="1" applyAlignment="1"/>
    <xf numFmtId="0" fontId="0" fillId="0" borderId="61" xfId="0" applyBorder="1" applyAlignment="1"/>
    <xf numFmtId="0" fontId="0" fillId="0" borderId="46" xfId="0" applyBorder="1" applyAlignment="1"/>
    <xf numFmtId="0" fontId="57" fillId="0" borderId="0" xfId="0" applyFont="1"/>
    <xf numFmtId="0" fontId="67" fillId="0" borderId="0" xfId="0" applyFont="1" applyFill="1" applyBorder="1"/>
    <xf numFmtId="0" fontId="0" fillId="0" borderId="0" xfId="0" applyFill="1" applyBorder="1"/>
    <xf numFmtId="0" fontId="26" fillId="0" borderId="0" xfId="0" applyFont="1" applyFill="1" applyBorder="1"/>
    <xf numFmtId="0" fontId="26" fillId="0" borderId="0" xfId="0" applyFont="1"/>
    <xf numFmtId="0" fontId="64" fillId="0" borderId="0" xfId="0" applyFont="1" applyBorder="1" applyAlignment="1">
      <alignment horizontal="center"/>
    </xf>
    <xf numFmtId="171" fontId="26" fillId="29" borderId="0" xfId="2" applyNumberFormat="1" applyFont="1" applyFill="1"/>
    <xf numFmtId="171" fontId="26" fillId="0" borderId="19" xfId="2" applyNumberFormat="1" applyFont="1" applyBorder="1"/>
    <xf numFmtId="171" fontId="26" fillId="11" borderId="0" xfId="2" applyNumberFormat="1" applyFont="1" applyFill="1" applyBorder="1"/>
    <xf numFmtId="171" fontId="26" fillId="0" borderId="0" xfId="2" applyNumberFormat="1" applyFont="1"/>
    <xf numFmtId="171" fontId="26" fillId="11" borderId="11" xfId="2" applyNumberFormat="1" applyFont="1" applyFill="1" applyBorder="1"/>
    <xf numFmtId="171" fontId="26" fillId="0" borderId="0" xfId="0" applyNumberFormat="1" applyFont="1"/>
    <xf numFmtId="171" fontId="26" fillId="30" borderId="0" xfId="2" applyNumberFormat="1" applyFont="1" applyFill="1"/>
    <xf numFmtId="171" fontId="26" fillId="11" borderId="11" xfId="0" applyNumberFormat="1" applyFont="1" applyFill="1" applyBorder="1"/>
    <xf numFmtId="171" fontId="26" fillId="29" borderId="0" xfId="0" applyNumberFormat="1" applyFont="1" applyFill="1"/>
    <xf numFmtId="0" fontId="26" fillId="0" borderId="0" xfId="0" applyFont="1" applyBorder="1"/>
    <xf numFmtId="0" fontId="68" fillId="0" borderId="0" xfId="0" applyFont="1" applyAlignment="1">
      <alignment wrapText="1"/>
    </xf>
    <xf numFmtId="0" fontId="68" fillId="0" borderId="0" xfId="0" applyFont="1"/>
    <xf numFmtId="0" fontId="69" fillId="0" borderId="0" xfId="0" applyFont="1"/>
    <xf numFmtId="0" fontId="70" fillId="0" borderId="0" xfId="0" applyFont="1" applyAlignment="1"/>
    <xf numFmtId="0" fontId="70" fillId="0" borderId="0" xfId="0" applyFont="1" applyAlignment="1">
      <alignment wrapText="1"/>
    </xf>
    <xf numFmtId="0" fontId="70" fillId="0" borderId="0" xfId="0" applyFont="1"/>
    <xf numFmtId="0" fontId="71" fillId="0" borderId="0" xfId="0" applyFont="1"/>
    <xf numFmtId="0" fontId="72" fillId="0" borderId="0" xfId="0" applyFont="1" applyAlignment="1">
      <alignment horizontal="center"/>
    </xf>
    <xf numFmtId="0" fontId="70" fillId="31" borderId="0" xfId="0" applyFont="1" applyFill="1" applyAlignment="1">
      <alignment horizontal="right"/>
    </xf>
    <xf numFmtId="0" fontId="30" fillId="26" borderId="0" xfId="0" applyFont="1" applyFill="1"/>
    <xf numFmtId="0" fontId="0" fillId="26" borderId="0" xfId="0" applyFill="1"/>
    <xf numFmtId="0" fontId="0" fillId="29" borderId="47" xfId="0" applyFill="1" applyBorder="1" applyAlignment="1">
      <alignment vertical="center" wrapText="1"/>
    </xf>
    <xf numFmtId="0" fontId="0" fillId="29" borderId="10" xfId="0" applyFill="1" applyBorder="1" applyAlignment="1">
      <alignment horizontal="center" vertical="center" wrapText="1"/>
    </xf>
    <xf numFmtId="0" fontId="0" fillId="29" borderId="12" xfId="0" applyFill="1" applyBorder="1" applyAlignment="1">
      <alignment horizontal="center" vertical="center" wrapText="1"/>
    </xf>
    <xf numFmtId="0" fontId="0" fillId="29" borderId="47" xfId="0" applyFill="1" applyBorder="1" applyAlignment="1">
      <alignment horizontal="center" vertical="center" wrapText="1"/>
    </xf>
    <xf numFmtId="0" fontId="2" fillId="29" borderId="47" xfId="0" applyFont="1" applyFill="1" applyBorder="1" applyAlignment="1">
      <alignment horizontal="center" vertical="center" wrapText="1"/>
    </xf>
    <xf numFmtId="0" fontId="0" fillId="0" borderId="70" xfId="0" applyBorder="1"/>
    <xf numFmtId="0" fontId="0" fillId="0" borderId="13" xfId="0" applyBorder="1"/>
    <xf numFmtId="0" fontId="0" fillId="0" borderId="15" xfId="0" applyBorder="1"/>
    <xf numFmtId="0" fontId="73" fillId="0" borderId="70" xfId="0" applyFont="1" applyBorder="1" applyAlignment="1">
      <alignment horizontal="center" vertical="top" wrapText="1"/>
    </xf>
    <xf numFmtId="0" fontId="73" fillId="0" borderId="47" xfId="0" applyFont="1" applyFill="1" applyBorder="1" applyAlignment="1">
      <alignment horizontal="center" vertical="center" wrapText="1"/>
    </xf>
    <xf numFmtId="0" fontId="0" fillId="0" borderId="45" xfId="0" applyBorder="1"/>
    <xf numFmtId="0" fontId="0" fillId="0" borderId="16" xfId="0" applyBorder="1"/>
    <xf numFmtId="0" fontId="0" fillId="0" borderId="17" xfId="0" applyBorder="1"/>
    <xf numFmtId="0" fontId="2" fillId="0" borderId="45" xfId="0" applyFont="1" applyBorder="1"/>
    <xf numFmtId="0" fontId="2" fillId="0" borderId="17" xfId="0" applyFont="1" applyBorder="1"/>
    <xf numFmtId="0" fontId="0" fillId="0" borderId="60" xfId="0" applyBorder="1"/>
    <xf numFmtId="0" fontId="0" fillId="0" borderId="18" xfId="0" applyBorder="1"/>
    <xf numFmtId="0" fontId="0" fillId="0" borderId="20" xfId="0" applyBorder="1"/>
    <xf numFmtId="0" fontId="2" fillId="0" borderId="60" xfId="0" applyFont="1" applyBorder="1"/>
    <xf numFmtId="0" fontId="2" fillId="0" borderId="20" xfId="0" applyFont="1" applyBorder="1"/>
    <xf numFmtId="49" fontId="21" fillId="10" borderId="0" xfId="0" applyNumberFormat="1" applyFont="1" applyFill="1" applyAlignment="1" applyProtection="1">
      <alignment horizontal="center" vertical="center" wrapText="1"/>
      <protection locked="0"/>
    </xf>
    <xf numFmtId="1" fontId="32" fillId="0" borderId="21" xfId="62" applyNumberFormat="1" applyFont="1" applyBorder="1" applyAlignment="1" applyProtection="1">
      <alignment horizontal="center" vertical="center" wrapText="1"/>
    </xf>
    <xf numFmtId="1" fontId="32" fillId="0" borderId="22" xfId="62" applyNumberFormat="1" applyFont="1" applyBorder="1" applyAlignment="1" applyProtection="1">
      <alignment horizontal="center" vertical="center" wrapText="1"/>
    </xf>
    <xf numFmtId="1" fontId="32" fillId="0" borderId="23" xfId="62" applyNumberFormat="1" applyFont="1" applyBorder="1" applyAlignment="1" applyProtection="1">
      <alignment horizontal="center" vertical="center" wrapText="1"/>
    </xf>
    <xf numFmtId="1" fontId="32" fillId="0" borderId="27" xfId="62" applyNumberFormat="1" applyFont="1" applyBorder="1" applyAlignment="1" applyProtection="1">
      <alignment horizontal="center" vertical="center" wrapText="1"/>
    </xf>
    <xf numFmtId="1" fontId="32" fillId="0" borderId="0" xfId="62" applyNumberFormat="1" applyFont="1" applyBorder="1" applyAlignment="1" applyProtection="1">
      <alignment horizontal="center" vertical="center" wrapText="1"/>
    </xf>
    <xf numFmtId="1" fontId="32" fillId="0" borderId="28" xfId="62" applyNumberFormat="1" applyFont="1" applyBorder="1" applyAlignment="1" applyProtection="1">
      <alignment horizontal="center" vertical="center" wrapText="1"/>
    </xf>
    <xf numFmtId="1" fontId="32" fillId="0" borderId="30" xfId="62" applyNumberFormat="1" applyFont="1" applyBorder="1" applyAlignment="1" applyProtection="1">
      <alignment horizontal="center" vertical="center" wrapText="1"/>
    </xf>
    <xf numFmtId="1" fontId="32" fillId="0" borderId="31" xfId="62" applyNumberFormat="1" applyFont="1" applyBorder="1" applyAlignment="1" applyProtection="1">
      <alignment horizontal="center" vertical="center" wrapText="1"/>
    </xf>
    <xf numFmtId="1" fontId="32" fillId="0" borderId="32" xfId="62" applyNumberFormat="1" applyFont="1" applyBorder="1" applyAlignment="1" applyProtection="1">
      <alignment horizontal="center" vertical="center" wrapText="1"/>
    </xf>
    <xf numFmtId="1" fontId="32" fillId="0" borderId="24" xfId="62" applyNumberFormat="1" applyFont="1" applyBorder="1" applyAlignment="1" applyProtection="1">
      <alignment horizontal="center" vertical="center" wrapText="1"/>
    </xf>
    <xf numFmtId="1" fontId="32" fillId="0" borderId="29" xfId="62" applyNumberFormat="1" applyFont="1" applyBorder="1" applyAlignment="1" applyProtection="1">
      <alignment horizontal="center" vertical="center" wrapText="1"/>
    </xf>
    <xf numFmtId="1" fontId="32" fillId="0" borderId="33" xfId="62" applyNumberFormat="1" applyFont="1" applyBorder="1" applyAlignment="1" applyProtection="1">
      <alignment horizontal="center" vertical="center" wrapText="1"/>
    </xf>
    <xf numFmtId="1" fontId="32" fillId="0" borderId="25" xfId="62" applyNumberFormat="1" applyFont="1" applyBorder="1" applyAlignment="1" applyProtection="1">
      <alignment horizontal="center"/>
    </xf>
    <xf numFmtId="1" fontId="32" fillId="0" borderId="26" xfId="62" applyNumberFormat="1" applyFont="1" applyBorder="1" applyAlignment="1" applyProtection="1">
      <alignment horizontal="center"/>
    </xf>
    <xf numFmtId="1" fontId="32" fillId="0" borderId="25" xfId="62" quotePrefix="1" applyNumberFormat="1" applyFont="1" applyBorder="1" applyAlignment="1" applyProtection="1">
      <alignment horizontal="center"/>
    </xf>
    <xf numFmtId="0" fontId="30" fillId="0" borderId="41" xfId="63" applyFont="1" applyBorder="1" applyAlignment="1" applyProtection="1">
      <alignment horizontal="center" vertical="center"/>
    </xf>
    <xf numFmtId="0" fontId="30" fillId="0" borderId="58" xfId="63" applyFont="1" applyBorder="1" applyAlignment="1" applyProtection="1">
      <alignment horizontal="center" vertical="center"/>
    </xf>
    <xf numFmtId="0" fontId="30" fillId="0" borderId="51" xfId="63" applyFont="1" applyBorder="1" applyAlignment="1" applyProtection="1">
      <alignment horizontal="center" vertical="center"/>
    </xf>
    <xf numFmtId="0" fontId="30" fillId="0" borderId="59" xfId="63" applyFont="1" applyBorder="1" applyAlignment="1" applyProtection="1">
      <alignment horizontal="center" vertical="center"/>
    </xf>
    <xf numFmtId="0" fontId="2" fillId="0" borderId="41" xfId="63" applyBorder="1" applyAlignment="1" applyProtection="1">
      <alignment horizontal="center"/>
    </xf>
    <xf numFmtId="0" fontId="2" fillId="0" borderId="58" xfId="63" applyBorder="1" applyAlignment="1" applyProtection="1">
      <alignment horizontal="center"/>
    </xf>
    <xf numFmtId="0" fontId="30" fillId="0" borderId="51" xfId="66" applyFont="1" applyBorder="1" applyAlignment="1" applyProtection="1">
      <alignment horizontal="center" vertical="center"/>
    </xf>
    <xf numFmtId="0" fontId="30" fillId="0" borderId="59" xfId="66" applyFont="1" applyBorder="1" applyAlignment="1" applyProtection="1">
      <alignment horizontal="center" vertical="center"/>
    </xf>
    <xf numFmtId="0" fontId="30" fillId="0" borderId="41" xfId="66" applyFont="1" applyFill="1" applyBorder="1" applyAlignment="1" applyProtection="1">
      <alignment horizontal="center" vertical="center"/>
    </xf>
    <xf numFmtId="0" fontId="30" fillId="0" borderId="58" xfId="66" applyFont="1" applyFill="1" applyBorder="1" applyAlignment="1" applyProtection="1">
      <alignment horizontal="center" vertical="center"/>
    </xf>
    <xf numFmtId="0" fontId="30" fillId="0" borderId="41" xfId="66" applyFont="1" applyBorder="1" applyAlignment="1" applyProtection="1">
      <alignment horizontal="center"/>
    </xf>
    <xf numFmtId="0" fontId="30" fillId="0" borderId="58" xfId="66" applyFont="1" applyBorder="1" applyAlignment="1" applyProtection="1">
      <alignment horizontal="center"/>
    </xf>
    <xf numFmtId="0" fontId="30" fillId="0" borderId="76" xfId="63" applyFont="1" applyFill="1" applyBorder="1" applyAlignment="1" applyProtection="1">
      <alignment horizontal="center"/>
    </xf>
    <xf numFmtId="0" fontId="30" fillId="0" borderId="25" xfId="63" applyFont="1" applyFill="1" applyBorder="1" applyAlignment="1" applyProtection="1">
      <alignment horizontal="center"/>
    </xf>
    <xf numFmtId="0" fontId="30" fillId="0" borderId="26" xfId="63" applyFont="1" applyFill="1" applyBorder="1" applyAlignment="1" applyProtection="1">
      <alignment horizontal="center"/>
    </xf>
    <xf numFmtId="0" fontId="30" fillId="0" borderId="24" xfId="63" applyFont="1" applyBorder="1" applyAlignment="1" applyProtection="1">
      <alignment horizontal="center" vertical="center" wrapText="1"/>
    </xf>
    <xf numFmtId="0" fontId="30" fillId="0" borderId="74" xfId="63" applyFont="1" applyBorder="1" applyAlignment="1" applyProtection="1">
      <alignment horizontal="center" vertical="center" wrapText="1"/>
    </xf>
    <xf numFmtId="0" fontId="30" fillId="0" borderId="64" xfId="63" applyFont="1" applyBorder="1" applyAlignment="1" applyProtection="1">
      <alignment horizontal="center" vertical="center" wrapText="1"/>
    </xf>
    <xf numFmtId="0" fontId="30" fillId="0" borderId="19" xfId="63" applyFont="1" applyBorder="1" applyAlignment="1" applyProtection="1">
      <alignment horizontal="center" vertical="center" wrapText="1"/>
    </xf>
    <xf numFmtId="0" fontId="30" fillId="0" borderId="24" xfId="63" applyFont="1" applyBorder="1" applyAlignment="1" applyProtection="1">
      <alignment horizontal="center"/>
    </xf>
    <xf numFmtId="0" fontId="30" fillId="0" borderId="29" xfId="63" applyFont="1" applyBorder="1" applyAlignment="1" applyProtection="1">
      <alignment horizontal="center"/>
    </xf>
    <xf numFmtId="0" fontId="30" fillId="0" borderId="74" xfId="63" applyFont="1" applyBorder="1" applyAlignment="1" applyProtection="1">
      <alignment horizontal="center"/>
    </xf>
    <xf numFmtId="0" fontId="30" fillId="0" borderId="52" xfId="63" applyFont="1" applyBorder="1" applyAlignment="1" applyProtection="1">
      <alignment horizontal="center" vertical="center"/>
    </xf>
    <xf numFmtId="0" fontId="30" fillId="0" borderId="53" xfId="63" applyFont="1" applyBorder="1" applyAlignment="1" applyProtection="1">
      <alignment horizontal="center" vertical="center"/>
    </xf>
    <xf numFmtId="0" fontId="30" fillId="0" borderId="54" xfId="63" applyFont="1" applyBorder="1" applyAlignment="1" applyProtection="1">
      <alignment horizontal="center" vertical="center"/>
    </xf>
    <xf numFmtId="0" fontId="30" fillId="0" borderId="24" xfId="69" applyFont="1" applyFill="1" applyBorder="1" applyAlignment="1" applyProtection="1">
      <alignment horizontal="center" vertical="center" wrapText="1"/>
    </xf>
    <xf numFmtId="0" fontId="30" fillId="0" borderId="74" xfId="69" applyFont="1" applyFill="1" applyBorder="1" applyAlignment="1" applyProtection="1">
      <alignment horizontal="center" vertical="center" wrapText="1"/>
    </xf>
    <xf numFmtId="0" fontId="30" fillId="0" borderId="21" xfId="63" applyFont="1" applyBorder="1" applyAlignment="1" applyProtection="1">
      <alignment horizontal="center" vertical="center"/>
    </xf>
    <xf numFmtId="0" fontId="0" fillId="0" borderId="22" xfId="0" applyBorder="1" applyAlignment="1"/>
    <xf numFmtId="0" fontId="0" fillId="0" borderId="23" xfId="0" applyBorder="1" applyAlignment="1"/>
    <xf numFmtId="0" fontId="0" fillId="0" borderId="53" xfId="0" applyBorder="1" applyAlignment="1">
      <alignment horizontal="center" vertical="center"/>
    </xf>
    <xf numFmtId="0" fontId="0" fillId="0" borderId="54" xfId="0" applyBorder="1" applyAlignment="1">
      <alignment horizontal="center" vertical="center"/>
    </xf>
    <xf numFmtId="0" fontId="2" fillId="0" borderId="66" xfId="70" applyFont="1" applyBorder="1" applyAlignment="1" applyProtection="1">
      <alignment horizontal="left"/>
    </xf>
    <xf numFmtId="0" fontId="2" fillId="0" borderId="67" xfId="70" applyFont="1" applyBorder="1" applyAlignment="1" applyProtection="1">
      <alignment horizontal="left"/>
    </xf>
    <xf numFmtId="0" fontId="2" fillId="0" borderId="78" xfId="70" applyFont="1" applyBorder="1" applyAlignment="1" applyProtection="1">
      <alignment horizontal="left"/>
    </xf>
    <xf numFmtId="0" fontId="2" fillId="0" borderId="72" xfId="70" applyFont="1" applyBorder="1" applyAlignment="1" applyProtection="1">
      <alignment horizontal="left"/>
    </xf>
    <xf numFmtId="0" fontId="2" fillId="0" borderId="55" xfId="70" applyFont="1" applyBorder="1" applyAlignment="1" applyProtection="1">
      <alignment horizontal="center"/>
    </xf>
    <xf numFmtId="0" fontId="2" fillId="0" borderId="57" xfId="70" applyFont="1" applyBorder="1" applyAlignment="1" applyProtection="1">
      <alignment horizontal="center"/>
    </xf>
    <xf numFmtId="0" fontId="2" fillId="0" borderId="46" xfId="70" applyFont="1" applyBorder="1" applyAlignment="1" applyProtection="1">
      <alignment horizontal="center"/>
    </xf>
    <xf numFmtId="0" fontId="2" fillId="0" borderId="61" xfId="70" applyFont="1" applyBorder="1" applyAlignment="1" applyProtection="1">
      <alignment horizontal="center"/>
    </xf>
    <xf numFmtId="0" fontId="2" fillId="0" borderId="46" xfId="70" applyFont="1" applyBorder="1" applyAlignment="1" applyProtection="1">
      <alignment horizontal="left" vertical="center"/>
    </xf>
    <xf numFmtId="0" fontId="2" fillId="0" borderId="61" xfId="70" applyFont="1" applyBorder="1" applyAlignment="1" applyProtection="1">
      <alignment horizontal="left" vertical="center"/>
    </xf>
    <xf numFmtId="0" fontId="2" fillId="0" borderId="46" xfId="70" applyFont="1" applyBorder="1" applyAlignment="1" applyProtection="1">
      <alignment horizontal="left" vertical="center" wrapText="1"/>
    </xf>
    <xf numFmtId="0" fontId="2" fillId="0" borderId="61" xfId="70" applyFont="1" applyBorder="1" applyAlignment="1" applyProtection="1">
      <alignment horizontal="left" vertical="center" wrapText="1"/>
    </xf>
    <xf numFmtId="0" fontId="2" fillId="0" borderId="36" xfId="70" applyFont="1" applyBorder="1" applyAlignment="1" applyProtection="1">
      <alignment horizontal="left" vertical="center" wrapText="1"/>
    </xf>
    <xf numFmtId="0" fontId="2" fillId="0" borderId="39" xfId="70" applyFont="1" applyBorder="1" applyAlignment="1" applyProtection="1">
      <alignment horizontal="left" vertical="center" wrapText="1"/>
    </xf>
    <xf numFmtId="0" fontId="2" fillId="0" borderId="21" xfId="70" applyFont="1" applyBorder="1" applyAlignment="1" applyProtection="1">
      <alignment horizontal="left" vertical="center"/>
    </xf>
    <xf numFmtId="0" fontId="2" fillId="0" borderId="23" xfId="70" applyFont="1" applyBorder="1" applyAlignment="1" applyProtection="1">
      <alignment horizontal="left" vertical="center"/>
    </xf>
    <xf numFmtId="0" fontId="2" fillId="0" borderId="64" xfId="70" applyFont="1" applyBorder="1" applyAlignment="1" applyProtection="1">
      <alignment horizontal="left" vertical="center"/>
    </xf>
    <xf numFmtId="0" fontId="2" fillId="0" borderId="65" xfId="70" applyFont="1" applyBorder="1" applyAlignment="1" applyProtection="1">
      <alignment horizontal="left" vertical="center"/>
    </xf>
    <xf numFmtId="0" fontId="30" fillId="0" borderId="46" xfId="74" applyFont="1" applyBorder="1" applyAlignment="1" applyProtection="1">
      <alignment horizontal="left" vertical="center"/>
    </xf>
    <xf numFmtId="0" fontId="30" fillId="0" borderId="21" xfId="74" applyFont="1" applyFill="1" applyBorder="1" applyAlignment="1" applyProtection="1">
      <alignment horizontal="center" vertical="center"/>
    </xf>
    <xf numFmtId="0" fontId="30" fillId="0" borderId="23" xfId="74" applyFont="1" applyFill="1" applyBorder="1" applyAlignment="1" applyProtection="1">
      <alignment horizontal="center" vertical="center"/>
    </xf>
    <xf numFmtId="0" fontId="30" fillId="0" borderId="27" xfId="74" applyFont="1" applyFill="1" applyBorder="1" applyAlignment="1" applyProtection="1">
      <alignment horizontal="center" vertical="center"/>
    </xf>
    <xf numFmtId="0" fontId="30" fillId="0" borderId="28" xfId="74" applyFont="1" applyFill="1" applyBorder="1" applyAlignment="1" applyProtection="1">
      <alignment horizontal="center" vertical="center"/>
    </xf>
    <xf numFmtId="0" fontId="30" fillId="0" borderId="64" xfId="74" applyFont="1" applyFill="1" applyBorder="1" applyAlignment="1" applyProtection="1">
      <alignment horizontal="center" vertical="center"/>
    </xf>
    <xf numFmtId="0" fontId="30" fillId="0" borderId="65" xfId="74" applyFont="1" applyFill="1" applyBorder="1" applyAlignment="1" applyProtection="1">
      <alignment horizontal="center" vertical="center"/>
    </xf>
    <xf numFmtId="0" fontId="30" fillId="0" borderId="58" xfId="74" applyFont="1" applyBorder="1" applyAlignment="1" applyProtection="1">
      <alignment horizontal="left" vertical="center" wrapText="1"/>
    </xf>
    <xf numFmtId="0" fontId="30" fillId="0" borderId="46" xfId="74" applyFont="1" applyBorder="1" applyAlignment="1" applyProtection="1">
      <alignment horizontal="left" vertical="center" wrapText="1"/>
    </xf>
    <xf numFmtId="0" fontId="30" fillId="0" borderId="44" xfId="69" applyFont="1" applyFill="1" applyBorder="1" applyAlignment="1" applyProtection="1">
      <alignment horizontal="left" vertical="center"/>
    </xf>
    <xf numFmtId="0" fontId="45" fillId="0" borderId="44" xfId="0" applyFont="1" applyBorder="1" applyAlignment="1" applyProtection="1">
      <alignment horizontal="left" vertical="center"/>
    </xf>
    <xf numFmtId="0" fontId="45" fillId="0" borderId="58" xfId="0" applyFont="1" applyBorder="1" applyAlignment="1" applyProtection="1">
      <alignment horizontal="left" vertical="center"/>
    </xf>
    <xf numFmtId="0" fontId="30" fillId="0" borderId="68" xfId="74" applyFont="1" applyBorder="1" applyAlignment="1" applyProtection="1">
      <alignment horizontal="left" vertical="center"/>
    </xf>
    <xf numFmtId="0" fontId="30" fillId="0" borderId="68" xfId="69" applyFont="1" applyFill="1" applyBorder="1" applyAlignment="1" applyProtection="1">
      <alignment horizontal="left" vertical="center"/>
    </xf>
    <xf numFmtId="0" fontId="30" fillId="0" borderId="10" xfId="77" applyFont="1" applyBorder="1" applyAlignment="1" applyProtection="1">
      <alignment horizontal="center" vertical="center"/>
    </xf>
    <xf numFmtId="0" fontId="30" fillId="0" borderId="11" xfId="77" applyFont="1" applyBorder="1" applyAlignment="1" applyProtection="1">
      <alignment horizontal="center" vertical="center"/>
    </xf>
    <xf numFmtId="0" fontId="30" fillId="0" borderId="40" xfId="77" applyFont="1" applyBorder="1" applyAlignment="1" applyProtection="1">
      <alignment horizontal="center" vertical="center"/>
    </xf>
    <xf numFmtId="0" fontId="2" fillId="0" borderId="21" xfId="77" applyFont="1" applyBorder="1" applyAlignment="1" applyProtection="1">
      <alignment horizontal="center" vertical="center"/>
    </xf>
    <xf numFmtId="0" fontId="2" fillId="0" borderId="23" xfId="77" applyFont="1" applyBorder="1" applyAlignment="1" applyProtection="1">
      <alignment horizontal="center" vertical="center"/>
    </xf>
    <xf numFmtId="0" fontId="2" fillId="0" borderId="64" xfId="77" applyFont="1" applyBorder="1" applyAlignment="1" applyProtection="1">
      <alignment horizontal="center" vertical="center"/>
    </xf>
    <xf numFmtId="0" fontId="2" fillId="0" borderId="65" xfId="77" applyFont="1" applyBorder="1" applyAlignment="1" applyProtection="1">
      <alignment horizontal="center" vertical="center"/>
    </xf>
    <xf numFmtId="0" fontId="30" fillId="0" borderId="52" xfId="77" applyFont="1" applyBorder="1" applyAlignment="1" applyProtection="1">
      <alignment horizontal="center" vertical="center"/>
    </xf>
    <xf numFmtId="0" fontId="0" fillId="0" borderId="53" xfId="0" applyBorder="1"/>
    <xf numFmtId="0" fontId="0" fillId="0" borderId="54" xfId="0" applyBorder="1"/>
    <xf numFmtId="0" fontId="30" fillId="0" borderId="52" xfId="77" applyFont="1" applyBorder="1" applyAlignment="1" applyProtection="1">
      <alignment horizontal="center" vertical="center" wrapText="1"/>
    </xf>
    <xf numFmtId="0" fontId="30" fillId="0" borderId="53" xfId="77" applyFont="1" applyBorder="1" applyAlignment="1" applyProtection="1">
      <alignment horizontal="center" vertical="center" wrapText="1"/>
    </xf>
    <xf numFmtId="0" fontId="30" fillId="0" borderId="54" xfId="77" applyFont="1" applyBorder="1" applyAlignment="1" applyProtection="1">
      <alignment horizontal="center" vertical="center" wrapText="1"/>
    </xf>
    <xf numFmtId="0" fontId="30" fillId="0" borderId="53" xfId="77" applyFont="1" applyBorder="1" applyAlignment="1" applyProtection="1">
      <alignment horizontal="center" vertical="center"/>
    </xf>
    <xf numFmtId="0" fontId="30" fillId="0" borderId="54" xfId="77" applyFont="1" applyBorder="1" applyAlignment="1" applyProtection="1">
      <alignment horizontal="center" vertical="center"/>
    </xf>
    <xf numFmtId="0" fontId="2" fillId="0" borderId="73" xfId="77" applyFont="1" applyBorder="1" applyAlignment="1" applyProtection="1">
      <alignment horizontal="center" vertical="center"/>
    </xf>
    <xf numFmtId="0" fontId="2" fillId="0" borderId="74" xfId="77" applyFont="1" applyBorder="1" applyAlignment="1" applyProtection="1">
      <alignment horizontal="center" vertical="center"/>
    </xf>
    <xf numFmtId="0" fontId="30" fillId="0" borderId="10" xfId="77" applyFont="1" applyBorder="1" applyAlignment="1" applyProtection="1">
      <alignment horizontal="center" vertical="center" wrapText="1"/>
    </xf>
    <xf numFmtId="0" fontId="30" fillId="0" borderId="11" xfId="77" applyFont="1" applyBorder="1" applyAlignment="1" applyProtection="1">
      <alignment horizontal="center" vertical="center" wrapText="1"/>
    </xf>
    <xf numFmtId="0" fontId="30" fillId="0" borderId="40" xfId="77" applyFont="1" applyBorder="1" applyAlignment="1" applyProtection="1">
      <alignment horizontal="center" vertical="center" wrapText="1"/>
    </xf>
    <xf numFmtId="0" fontId="30" fillId="0" borderId="68" xfId="77" applyFont="1" applyBorder="1" applyAlignment="1" applyProtection="1">
      <alignment horizontal="center" vertical="center" wrapText="1"/>
    </xf>
    <xf numFmtId="0" fontId="30" fillId="0" borderId="58" xfId="77" applyFont="1" applyBorder="1" applyAlignment="1" applyProtection="1">
      <alignment horizontal="center" vertical="center"/>
    </xf>
    <xf numFmtId="0" fontId="30" fillId="0" borderId="15" xfId="77" applyFont="1" applyBorder="1" applyAlignment="1" applyProtection="1">
      <alignment horizontal="center" vertical="center" wrapText="1"/>
    </xf>
    <xf numFmtId="0" fontId="30" fillId="0" borderId="20" xfId="77" applyFont="1" applyBorder="1" applyAlignment="1" applyProtection="1">
      <alignment horizontal="center" vertical="center"/>
    </xf>
    <xf numFmtId="0" fontId="0" fillId="0" borderId="58" xfId="0" applyBorder="1"/>
    <xf numFmtId="0" fontId="30" fillId="0" borderId="44" xfId="77" applyFont="1" applyBorder="1" applyAlignment="1" applyProtection="1">
      <alignment horizontal="center" vertical="center" wrapText="1"/>
    </xf>
    <xf numFmtId="0" fontId="30" fillId="0" borderId="58" xfId="77" applyFont="1" applyBorder="1" applyAlignment="1" applyProtection="1">
      <alignment horizontal="center" vertical="center" wrapText="1"/>
    </xf>
    <xf numFmtId="0" fontId="30" fillId="0" borderId="18" xfId="77" applyFont="1" applyBorder="1" applyAlignment="1" applyProtection="1">
      <alignment horizontal="center" vertical="center"/>
    </xf>
    <xf numFmtId="0" fontId="30" fillId="0" borderId="19" xfId="77" applyFont="1" applyBorder="1" applyAlignment="1" applyProtection="1">
      <alignment horizontal="center" vertical="center"/>
    </xf>
    <xf numFmtId="0" fontId="30" fillId="0" borderId="65" xfId="77" applyFont="1" applyBorder="1" applyAlignment="1" applyProtection="1">
      <alignment horizontal="center" vertical="center"/>
    </xf>
    <xf numFmtId="0" fontId="30" fillId="0" borderId="68" xfId="77" applyFont="1" applyBorder="1" applyAlignment="1" applyProtection="1">
      <alignment vertical="center" wrapText="1"/>
    </xf>
    <xf numFmtId="0" fontId="30" fillId="0" borderId="58" xfId="77" applyFont="1" applyBorder="1" applyAlignment="1" applyProtection="1">
      <alignment vertical="center"/>
    </xf>
    <xf numFmtId="1" fontId="30" fillId="0" borderId="21" xfId="62" applyNumberFormat="1" applyFont="1" applyBorder="1" applyAlignment="1" applyProtection="1">
      <alignment horizontal="center" vertical="center" wrapText="1"/>
    </xf>
    <xf numFmtId="1" fontId="30" fillId="0" borderId="22" xfId="62" applyNumberFormat="1" applyFont="1" applyBorder="1" applyAlignment="1" applyProtection="1">
      <alignment horizontal="center" vertical="center" wrapText="1"/>
    </xf>
    <xf numFmtId="1" fontId="30" fillId="0" borderId="86" xfId="62" applyNumberFormat="1" applyFont="1" applyBorder="1" applyAlignment="1" applyProtection="1">
      <alignment horizontal="center" vertical="center" wrapText="1"/>
    </xf>
    <xf numFmtId="1" fontId="30" fillId="0" borderId="27" xfId="62" applyNumberFormat="1" applyFont="1" applyBorder="1" applyAlignment="1" applyProtection="1">
      <alignment horizontal="center" vertical="center" wrapText="1"/>
    </xf>
    <xf numFmtId="1" fontId="30" fillId="0" borderId="0" xfId="62" applyNumberFormat="1" applyFont="1" applyBorder="1" applyAlignment="1" applyProtection="1">
      <alignment horizontal="center" vertical="center" wrapText="1"/>
    </xf>
    <xf numFmtId="1" fontId="30" fillId="0" borderId="17" xfId="62" applyNumberFormat="1" applyFont="1" applyBorder="1" applyAlignment="1" applyProtection="1">
      <alignment horizontal="center" vertical="center" wrapText="1"/>
    </xf>
    <xf numFmtId="1" fontId="30" fillId="0" borderId="30" xfId="62" applyNumberFormat="1" applyFont="1" applyBorder="1" applyAlignment="1" applyProtection="1">
      <alignment horizontal="center" vertical="center" wrapText="1"/>
    </xf>
    <xf numFmtId="1" fontId="30" fillId="0" borderId="31" xfId="62" applyNumberFormat="1" applyFont="1" applyBorder="1" applyAlignment="1" applyProtection="1">
      <alignment horizontal="center" vertical="center" wrapText="1"/>
    </xf>
    <xf numFmtId="1" fontId="30" fillId="0" borderId="87" xfId="62" applyNumberFormat="1" applyFont="1" applyBorder="1" applyAlignment="1" applyProtection="1">
      <alignment horizontal="center" vertical="center" wrapText="1"/>
    </xf>
    <xf numFmtId="1" fontId="30" fillId="0" borderId="51" xfId="62" applyNumberFormat="1" applyFont="1" applyBorder="1" applyAlignment="1" applyProtection="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20" fillId="0" borderId="10" xfId="0" quotePrefix="1" applyFont="1" applyBorder="1" applyAlignment="1">
      <alignment horizontal="center"/>
    </xf>
    <xf numFmtId="0" fontId="20" fillId="0" borderId="11" xfId="0" quotePrefix="1" applyFont="1" applyBorder="1" applyAlignment="1">
      <alignment horizontal="center"/>
    </xf>
    <xf numFmtId="0" fontId="20" fillId="0" borderId="12" xfId="0" quotePrefix="1" applyFont="1" applyBorder="1" applyAlignment="1">
      <alignment horizontal="center"/>
    </xf>
    <xf numFmtId="0" fontId="21" fillId="0" borderId="10" xfId="0" quotePrefix="1" applyFont="1" applyBorder="1" applyAlignment="1">
      <alignment horizontal="center"/>
    </xf>
    <xf numFmtId="0" fontId="21" fillId="0" borderId="11" xfId="0" quotePrefix="1" applyFont="1" applyBorder="1" applyAlignment="1">
      <alignment horizontal="center"/>
    </xf>
    <xf numFmtId="0" fontId="21" fillId="0" borderId="12" xfId="0" quotePrefix="1" applyFont="1" applyBorder="1" applyAlignment="1">
      <alignment horizontal="center"/>
    </xf>
    <xf numFmtId="0" fontId="33" fillId="0" borderId="70" xfId="81" applyFont="1" applyBorder="1" applyAlignment="1">
      <alignment horizontal="center" textRotation="90" wrapText="1"/>
    </xf>
    <xf numFmtId="0" fontId="33" fillId="0" borderId="45" xfId="81" applyFont="1" applyBorder="1" applyAlignment="1">
      <alignment horizontal="center" textRotation="90" wrapText="1"/>
    </xf>
    <xf numFmtId="0" fontId="33" fillId="0" borderId="60" xfId="81" applyFont="1" applyBorder="1" applyAlignment="1">
      <alignment horizontal="center" textRotation="90" wrapText="1"/>
    </xf>
    <xf numFmtId="0" fontId="33" fillId="0" borderId="0" xfId="0" applyFont="1" applyBorder="1" applyAlignment="1" applyProtection="1">
      <alignment horizontal="left" wrapText="1"/>
    </xf>
    <xf numFmtId="0" fontId="33" fillId="0" borderId="0" xfId="0" applyFont="1" applyBorder="1" applyAlignment="1">
      <alignment horizontal="left" wrapText="1"/>
    </xf>
    <xf numFmtId="0" fontId="32" fillId="0" borderId="70" xfId="81" applyFont="1" applyBorder="1" applyAlignment="1">
      <alignment horizontal="center" textRotation="90" wrapText="1"/>
    </xf>
    <xf numFmtId="0" fontId="32" fillId="0" borderId="45" xfId="81" applyFont="1" applyBorder="1" applyAlignment="1">
      <alignment horizontal="center" textRotation="90" wrapText="1"/>
    </xf>
    <xf numFmtId="0" fontId="32" fillId="0" borderId="60" xfId="81" applyFont="1" applyBorder="1" applyAlignment="1">
      <alignment horizontal="center" textRotation="90" wrapText="1"/>
    </xf>
    <xf numFmtId="0" fontId="33" fillId="11" borderId="10" xfId="81" applyFont="1" applyFill="1" applyBorder="1" applyAlignment="1">
      <alignment horizontal="center"/>
    </xf>
    <xf numFmtId="0" fontId="33" fillId="11" borderId="11" xfId="81" applyFont="1" applyFill="1" applyBorder="1" applyAlignment="1">
      <alignment horizontal="center"/>
    </xf>
    <xf numFmtId="0" fontId="33" fillId="11" borderId="12" xfId="81" applyFont="1" applyFill="1" applyBorder="1" applyAlignment="1">
      <alignment horizontal="center"/>
    </xf>
    <xf numFmtId="0" fontId="33" fillId="24" borderId="10" xfId="81" applyFont="1" applyFill="1" applyBorder="1" applyAlignment="1">
      <alignment horizontal="center"/>
    </xf>
    <xf numFmtId="0" fontId="33" fillId="24" borderId="11" xfId="81" applyFont="1" applyFill="1" applyBorder="1" applyAlignment="1">
      <alignment horizontal="center"/>
    </xf>
    <xf numFmtId="0" fontId="33" fillId="24" borderId="12" xfId="81" applyFont="1" applyFill="1" applyBorder="1" applyAlignment="1">
      <alignment horizontal="center"/>
    </xf>
    <xf numFmtId="0" fontId="33" fillId="0" borderId="10" xfId="81" applyFont="1" applyBorder="1" applyAlignment="1">
      <alignment horizontal="center"/>
    </xf>
    <xf numFmtId="0" fontId="33" fillId="0" borderId="11" xfId="81" applyFont="1" applyBorder="1" applyAlignment="1">
      <alignment horizontal="center"/>
    </xf>
    <xf numFmtId="0" fontId="33" fillId="0" borderId="12" xfId="81" applyFont="1" applyBorder="1" applyAlignment="1">
      <alignment horizontal="center"/>
    </xf>
    <xf numFmtId="0" fontId="56" fillId="0" borderId="21" xfId="0" applyFont="1" applyBorder="1" applyAlignment="1">
      <alignment horizontal="left" vertical="center"/>
    </xf>
    <xf numFmtId="0" fontId="56" fillId="0" borderId="22" xfId="0" applyFont="1" applyBorder="1" applyAlignment="1">
      <alignment horizontal="left" vertical="center"/>
    </xf>
    <xf numFmtId="0" fontId="56" fillId="0" borderId="23" xfId="0" applyFont="1" applyBorder="1" applyAlignment="1">
      <alignment horizontal="left" vertical="center"/>
    </xf>
    <xf numFmtId="0" fontId="56" fillId="0" borderId="30" xfId="0" applyFont="1" applyBorder="1" applyAlignment="1">
      <alignment horizontal="left" vertical="center"/>
    </xf>
    <xf numFmtId="0" fontId="56" fillId="0" borderId="31" xfId="0" applyFont="1" applyBorder="1" applyAlignment="1">
      <alignment horizontal="left" vertical="center"/>
    </xf>
    <xf numFmtId="0" fontId="56" fillId="0" borderId="32" xfId="0" applyFont="1" applyBorder="1" applyAlignment="1">
      <alignment horizontal="left" vertical="center"/>
    </xf>
    <xf numFmtId="0" fontId="32" fillId="24" borderId="76" xfId="0" applyFont="1" applyFill="1" applyBorder="1" applyAlignment="1" applyProtection="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2" fillId="11" borderId="76" xfId="0" applyFont="1" applyFill="1" applyBorder="1" applyAlignment="1" applyProtection="1">
      <alignment horizontal="center" vertical="center"/>
    </xf>
    <xf numFmtId="0" fontId="32" fillId="11" borderId="25" xfId="0" applyFont="1" applyFill="1" applyBorder="1" applyAlignment="1" applyProtection="1">
      <alignment horizontal="center" vertical="center"/>
    </xf>
    <xf numFmtId="0" fontId="32" fillId="11" borderId="26" xfId="0" applyFont="1" applyFill="1" applyBorder="1" applyAlignment="1" applyProtection="1">
      <alignment horizontal="center" vertical="center"/>
    </xf>
    <xf numFmtId="0" fontId="32" fillId="25" borderId="76" xfId="0" applyFont="1" applyFill="1" applyBorder="1" applyAlignment="1" applyProtection="1">
      <alignment horizontal="center" vertical="center"/>
    </xf>
    <xf numFmtId="0" fontId="32" fillId="25" borderId="25" xfId="0" applyFont="1" applyFill="1" applyBorder="1" applyAlignment="1" applyProtection="1">
      <alignment horizontal="center" vertical="center"/>
    </xf>
    <xf numFmtId="0" fontId="32" fillId="25" borderId="26" xfId="0" applyFont="1" applyFill="1" applyBorder="1" applyAlignment="1" applyProtection="1">
      <alignment horizontal="center" vertical="center"/>
    </xf>
    <xf numFmtId="0" fontId="32" fillId="0" borderId="76" xfId="0" applyFont="1" applyBorder="1" applyAlignment="1" applyProtection="1">
      <alignment horizontal="center" vertical="center"/>
    </xf>
    <xf numFmtId="0" fontId="32" fillId="0" borderId="25" xfId="0" applyFont="1" applyBorder="1" applyAlignment="1" applyProtection="1">
      <alignment horizontal="center" vertical="center"/>
    </xf>
    <xf numFmtId="0" fontId="32" fillId="0" borderId="26" xfId="0" applyFont="1" applyBorder="1" applyAlignment="1" applyProtection="1">
      <alignment horizontal="center" vertical="center"/>
    </xf>
    <xf numFmtId="0" fontId="32" fillId="0" borderId="76" xfId="0" applyFont="1" applyBorder="1" applyAlignment="1" applyProtection="1">
      <alignment horizontal="center" vertical="center" wrapText="1"/>
    </xf>
    <xf numFmtId="0" fontId="32" fillId="0" borderId="25" xfId="0" applyFont="1" applyBorder="1" applyAlignment="1" applyProtection="1">
      <alignment horizontal="center" vertical="center" wrapText="1"/>
    </xf>
    <xf numFmtId="0" fontId="32" fillId="0" borderId="26" xfId="0" applyFont="1" applyBorder="1" applyAlignment="1" applyProtection="1">
      <alignment horizontal="center" vertical="center" wrapText="1"/>
    </xf>
    <xf numFmtId="175" fontId="31" fillId="26" borderId="73" xfId="0" applyNumberFormat="1" applyFont="1" applyFill="1" applyBorder="1" applyAlignment="1">
      <alignment horizontal="right" vertical="center"/>
    </xf>
    <xf numFmtId="175" fontId="31" fillId="26" borderId="29" xfId="0" applyNumberFormat="1" applyFont="1" applyFill="1" applyBorder="1" applyAlignment="1">
      <alignment horizontal="right" vertical="center"/>
    </xf>
    <xf numFmtId="175" fontId="31" fillId="26" borderId="74" xfId="0" applyNumberFormat="1" applyFont="1" applyFill="1" applyBorder="1" applyAlignment="1">
      <alignment horizontal="right" vertical="center"/>
    </xf>
    <xf numFmtId="0" fontId="31" fillId="0" borderId="10" xfId="0" applyFont="1" applyFill="1" applyBorder="1" applyAlignment="1" applyProtection="1">
      <alignment horizontal="left" vertical="center"/>
    </xf>
    <xf numFmtId="0" fontId="31" fillId="0" borderId="40" xfId="0" applyFont="1" applyFill="1" applyBorder="1" applyAlignment="1" applyProtection="1">
      <alignment horizontal="left" vertical="center"/>
    </xf>
    <xf numFmtId="0" fontId="31" fillId="0" borderId="35" xfId="0" applyFont="1" applyFill="1" applyBorder="1" applyAlignment="1" applyProtection="1">
      <alignment horizontal="left" vertical="center"/>
    </xf>
    <xf numFmtId="0" fontId="31" fillId="0" borderId="39" xfId="0" applyFont="1" applyFill="1" applyBorder="1" applyAlignment="1" applyProtection="1">
      <alignment horizontal="left" vertical="center"/>
    </xf>
    <xf numFmtId="0" fontId="56" fillId="0" borderId="68" xfId="0" applyFont="1" applyBorder="1" applyAlignment="1">
      <alignment horizontal="center" vertical="center" wrapText="1"/>
    </xf>
    <xf numFmtId="0" fontId="56" fillId="0" borderId="44" xfId="0" applyFont="1" applyBorder="1" applyAlignment="1">
      <alignment horizontal="center" vertical="center" wrapText="1"/>
    </xf>
    <xf numFmtId="0" fontId="31" fillId="0" borderId="60" xfId="0" applyFont="1" applyFill="1" applyBorder="1" applyAlignment="1" applyProtection="1">
      <alignment horizontal="left" vertical="center"/>
    </xf>
    <xf numFmtId="0" fontId="31" fillId="0" borderId="59" xfId="0" applyFont="1" applyFill="1" applyBorder="1" applyAlignment="1" applyProtection="1">
      <alignment horizontal="left" vertical="center"/>
    </xf>
    <xf numFmtId="175" fontId="49" fillId="19" borderId="41" xfId="0" applyNumberFormat="1" applyFont="1" applyFill="1" applyBorder="1" applyAlignment="1" applyProtection="1">
      <alignment horizontal="right" vertical="center"/>
      <protection locked="0"/>
    </xf>
    <xf numFmtId="175" fontId="49" fillId="19" borderId="58" xfId="0" applyNumberFormat="1" applyFont="1" applyFill="1" applyBorder="1" applyAlignment="1" applyProtection="1">
      <alignment horizontal="right" vertical="center"/>
      <protection locked="0"/>
    </xf>
    <xf numFmtId="175" fontId="49" fillId="19" borderId="51" xfId="0" applyNumberFormat="1" applyFont="1" applyFill="1" applyBorder="1" applyAlignment="1" applyProtection="1">
      <alignment horizontal="right" vertical="center"/>
      <protection locked="0"/>
    </xf>
    <xf numFmtId="175" fontId="49" fillId="19" borderId="59" xfId="0" applyNumberFormat="1" applyFont="1" applyFill="1" applyBorder="1" applyAlignment="1" applyProtection="1">
      <alignment horizontal="right" vertical="center"/>
      <protection locked="0"/>
    </xf>
    <xf numFmtId="175" fontId="31" fillId="26" borderId="24" xfId="0" applyNumberFormat="1" applyFont="1" applyFill="1" applyBorder="1" applyAlignment="1">
      <alignment horizontal="right" vertical="center"/>
    </xf>
    <xf numFmtId="0" fontId="31" fillId="0" borderId="47" xfId="0" applyFont="1" applyFill="1" applyBorder="1" applyAlignment="1" applyProtection="1">
      <alignment horizontal="left" vertical="center"/>
    </xf>
    <xf numFmtId="0" fontId="31" fillId="0" borderId="61" xfId="0" applyFont="1" applyFill="1" applyBorder="1" applyAlignment="1" applyProtection="1">
      <alignment horizontal="left" vertical="center"/>
    </xf>
    <xf numFmtId="0" fontId="56" fillId="0" borderId="58" xfId="0" applyFont="1" applyBorder="1" applyAlignment="1">
      <alignment horizontal="center" vertical="center" wrapText="1"/>
    </xf>
    <xf numFmtId="0" fontId="26" fillId="0" borderId="18" xfId="0" applyFont="1" applyBorder="1" applyAlignment="1">
      <alignment horizontal="left" vertical="center"/>
    </xf>
    <xf numFmtId="0" fontId="26" fillId="0" borderId="65" xfId="0" applyFont="1" applyBorder="1" applyAlignment="1">
      <alignment horizontal="left" vertical="center"/>
    </xf>
    <xf numFmtId="175" fontId="49" fillId="19" borderId="68" xfId="0" applyNumberFormat="1" applyFont="1" applyFill="1" applyBorder="1" applyAlignment="1" applyProtection="1">
      <alignment horizontal="right" vertical="center"/>
      <protection locked="0"/>
    </xf>
    <xf numFmtId="175" fontId="49" fillId="19" borderId="44" xfId="0" applyNumberFormat="1" applyFont="1" applyFill="1" applyBorder="1" applyAlignment="1" applyProtection="1">
      <alignment horizontal="right" vertical="center"/>
      <protection locked="0"/>
    </xf>
    <xf numFmtId="175" fontId="49" fillId="19" borderId="69" xfId="0" applyNumberFormat="1" applyFont="1" applyFill="1" applyBorder="1" applyAlignment="1" applyProtection="1">
      <alignment horizontal="right" vertical="center"/>
      <protection locked="0"/>
    </xf>
    <xf numFmtId="175" fontId="49" fillId="19" borderId="62" xfId="0" applyNumberFormat="1" applyFont="1" applyFill="1" applyBorder="1" applyAlignment="1" applyProtection="1">
      <alignment horizontal="right" vertical="center"/>
      <protection locked="0"/>
    </xf>
    <xf numFmtId="0" fontId="57" fillId="0" borderId="76" xfId="0" applyFont="1" applyBorder="1" applyAlignment="1" applyProtection="1">
      <alignment horizontal="left" vertical="center" wrapText="1"/>
    </xf>
    <xf numFmtId="0" fontId="57" fillId="0" borderId="25" xfId="0" applyFont="1" applyBorder="1" applyAlignment="1" applyProtection="1">
      <alignment horizontal="left" vertical="center" wrapText="1"/>
    </xf>
    <xf numFmtId="0" fontId="57" fillId="0" borderId="26" xfId="0" applyFont="1" applyBorder="1" applyAlignment="1" applyProtection="1">
      <alignment horizontal="left" vertical="center" wrapText="1"/>
    </xf>
    <xf numFmtId="0" fontId="56" fillId="0" borderId="58" xfId="0" applyFont="1" applyBorder="1" applyAlignment="1">
      <alignment horizontal="center" vertical="center"/>
    </xf>
    <xf numFmtId="0" fontId="56" fillId="0" borderId="46" xfId="0" applyFont="1" applyBorder="1" applyAlignment="1">
      <alignment horizontal="center" vertical="center"/>
    </xf>
    <xf numFmtId="0" fontId="56" fillId="0" borderId="68" xfId="0" applyFont="1" applyBorder="1" applyAlignment="1">
      <alignment horizontal="center" vertical="center"/>
    </xf>
    <xf numFmtId="0" fontId="31" fillId="0" borderId="47" xfId="0" applyFont="1" applyFill="1" applyBorder="1" applyAlignment="1" applyProtection="1">
      <alignment horizontal="left" vertical="center" wrapText="1"/>
    </xf>
    <xf numFmtId="0" fontId="31" fillId="0" borderId="61" xfId="0" applyFont="1" applyFill="1" applyBorder="1" applyAlignment="1" applyProtection="1">
      <alignment horizontal="left" vertical="center" wrapText="1"/>
    </xf>
    <xf numFmtId="0" fontId="31" fillId="0" borderId="70" xfId="0" applyFont="1" applyFill="1" applyBorder="1" applyAlignment="1" applyProtection="1">
      <alignment horizontal="left" vertical="center"/>
    </xf>
    <xf numFmtId="0" fontId="31" fillId="0" borderId="69" xfId="0" applyFont="1" applyFill="1" applyBorder="1" applyAlignment="1" applyProtection="1">
      <alignment horizontal="left" vertical="center"/>
    </xf>
    <xf numFmtId="0" fontId="56" fillId="0" borderId="55" xfId="0" applyFont="1" applyBorder="1" applyAlignment="1">
      <alignment horizontal="center" vertical="center"/>
    </xf>
    <xf numFmtId="0" fontId="56" fillId="0" borderId="36" xfId="0" applyFont="1" applyBorder="1" applyAlignment="1">
      <alignment horizontal="center" vertical="center"/>
    </xf>
    <xf numFmtId="0" fontId="31" fillId="0" borderId="56" xfId="0" applyFont="1" applyFill="1" applyBorder="1" applyAlignment="1" applyProtection="1">
      <alignment horizontal="left" vertical="center"/>
    </xf>
    <xf numFmtId="0" fontId="31" fillId="0" borderId="57" xfId="0" applyFont="1" applyFill="1" applyBorder="1" applyAlignment="1" applyProtection="1">
      <alignment horizontal="left" vertical="center"/>
    </xf>
    <xf numFmtId="0" fontId="56" fillId="0" borderId="41" xfId="0" applyFont="1" applyBorder="1" applyAlignment="1">
      <alignment horizontal="center" vertical="center"/>
    </xf>
    <xf numFmtId="0" fontId="56" fillId="0" borderId="44" xfId="0" applyFont="1" applyBorder="1" applyAlignment="1">
      <alignment horizontal="center" vertical="center"/>
    </xf>
    <xf numFmtId="0" fontId="57" fillId="0" borderId="24" xfId="0" applyFont="1" applyBorder="1" applyAlignment="1">
      <alignment horizontal="center" vertical="center"/>
    </xf>
    <xf numFmtId="0" fontId="57" fillId="0" borderId="33" xfId="0" applyFont="1" applyBorder="1" applyAlignment="1">
      <alignment horizontal="center" vertical="center"/>
    </xf>
    <xf numFmtId="0" fontId="57" fillId="0" borderId="76" xfId="0" applyFont="1" applyBorder="1" applyAlignment="1">
      <alignment horizontal="left" vertical="center"/>
    </xf>
    <xf numFmtId="0" fontId="57" fillId="0" borderId="25" xfId="0" applyFont="1" applyBorder="1" applyAlignment="1">
      <alignment horizontal="left" vertical="center"/>
    </xf>
    <xf numFmtId="0" fontId="57" fillId="0" borderId="26" xfId="0" applyFont="1" applyBorder="1" applyAlignment="1">
      <alignment horizontal="left" vertical="center"/>
    </xf>
    <xf numFmtId="0" fontId="57" fillId="0" borderId="76" xfId="0" applyFont="1" applyBorder="1" applyAlignment="1" applyProtection="1">
      <alignment horizontal="center" vertical="center"/>
    </xf>
    <xf numFmtId="0" fontId="57" fillId="0" borderId="25" xfId="0" applyFont="1" applyBorder="1" applyAlignment="1" applyProtection="1">
      <alignment horizontal="center" vertical="center"/>
    </xf>
    <xf numFmtId="0" fontId="57" fillId="0" borderId="26" xfId="0" applyFont="1" applyBorder="1" applyAlignment="1" applyProtection="1">
      <alignment horizontal="center" vertical="center"/>
    </xf>
    <xf numFmtId="0" fontId="31" fillId="0" borderId="52" xfId="0" applyFont="1" applyBorder="1" applyAlignment="1" applyProtection="1">
      <alignment horizontal="left" vertical="center"/>
    </xf>
    <xf numFmtId="0" fontId="31" fillId="0" borderId="53" xfId="0" applyFont="1" applyBorder="1" applyAlignment="1" applyProtection="1">
      <alignment horizontal="left" vertical="center"/>
    </xf>
    <xf numFmtId="0" fontId="31" fillId="0" borderId="54" xfId="0" applyFont="1" applyBorder="1" applyAlignment="1" applyProtection="1">
      <alignment horizontal="left" vertical="center"/>
    </xf>
    <xf numFmtId="0" fontId="31" fillId="0" borderId="78" xfId="0" applyFont="1" applyBorder="1" applyAlignment="1" applyProtection="1">
      <alignment horizontal="left" vertical="center"/>
    </xf>
    <xf numFmtId="0" fontId="31" fillId="0" borderId="79" xfId="0" applyFont="1" applyBorder="1" applyAlignment="1" applyProtection="1">
      <alignment horizontal="left" vertical="center"/>
    </xf>
    <xf numFmtId="0" fontId="31" fillId="0" borderId="72" xfId="0" applyFont="1" applyBorder="1" applyAlignment="1" applyProtection="1">
      <alignment horizontal="left" vertical="center"/>
    </xf>
    <xf numFmtId="0" fontId="56" fillId="0" borderId="76" xfId="0" applyFont="1" applyBorder="1" applyAlignment="1">
      <alignment horizontal="left" vertical="center"/>
    </xf>
    <xf numFmtId="0" fontId="56" fillId="0" borderId="25" xfId="0" applyFont="1" applyBorder="1" applyAlignment="1">
      <alignment horizontal="left" vertical="center"/>
    </xf>
    <xf numFmtId="0" fontId="56" fillId="0" borderId="26" xfId="0" applyFont="1" applyBorder="1" applyAlignment="1">
      <alignment horizontal="left" vertical="center"/>
    </xf>
    <xf numFmtId="0" fontId="41" fillId="0" borderId="21" xfId="0" applyFont="1" applyBorder="1" applyAlignment="1" applyProtection="1">
      <alignment horizontal="left" vertical="center"/>
    </xf>
    <xf numFmtId="0" fontId="41" fillId="0" borderId="22" xfId="0" applyFont="1" applyBorder="1" applyAlignment="1" applyProtection="1">
      <alignment horizontal="left" vertical="center"/>
    </xf>
    <xf numFmtId="0" fontId="41" fillId="0" borderId="23" xfId="0" applyFont="1" applyBorder="1" applyAlignment="1" applyProtection="1">
      <alignment horizontal="left" vertical="center"/>
    </xf>
    <xf numFmtId="0" fontId="41" fillId="0" borderId="30" xfId="0" applyFont="1" applyBorder="1" applyAlignment="1" applyProtection="1">
      <alignment horizontal="left" vertical="center"/>
    </xf>
    <xf numFmtId="0" fontId="41" fillId="0" borderId="31" xfId="0" applyFont="1" applyBorder="1" applyAlignment="1" applyProtection="1">
      <alignment horizontal="left" vertical="center"/>
    </xf>
    <xf numFmtId="0" fontId="41" fillId="0" borderId="32" xfId="0" applyFont="1" applyBorder="1" applyAlignment="1" applyProtection="1">
      <alignment horizontal="left" vertical="center"/>
    </xf>
    <xf numFmtId="0" fontId="31" fillId="0" borderId="52" xfId="0" applyFont="1" applyBorder="1" applyAlignment="1" applyProtection="1">
      <alignment horizontal="left" vertical="center" wrapText="1"/>
    </xf>
    <xf numFmtId="0" fontId="31" fillId="0" borderId="53" xfId="0" applyFont="1" applyBorder="1" applyAlignment="1" applyProtection="1">
      <alignment horizontal="left" vertical="center" wrapText="1"/>
    </xf>
    <xf numFmtId="0" fontId="31" fillId="0" borderId="54" xfId="0" applyFont="1" applyBorder="1" applyAlignment="1" applyProtection="1">
      <alignment horizontal="left" vertical="center" wrapText="1"/>
    </xf>
    <xf numFmtId="0" fontId="31" fillId="0" borderId="76" xfId="0" applyFont="1" applyBorder="1" applyAlignment="1" applyProtection="1">
      <alignment horizontal="left" vertical="center" wrapText="1"/>
    </xf>
    <xf numFmtId="0" fontId="31" fillId="0" borderId="26" xfId="0" applyFont="1" applyBorder="1" applyAlignment="1" applyProtection="1">
      <alignment horizontal="left" vertical="center" wrapText="1"/>
    </xf>
    <xf numFmtId="0" fontId="59" fillId="0" borderId="52" xfId="0" applyFont="1" applyBorder="1" applyAlignment="1" applyProtection="1">
      <alignment horizontal="left" vertical="center" wrapText="1"/>
    </xf>
    <xf numFmtId="0" fontId="59" fillId="0" borderId="53" xfId="0" applyFont="1" applyBorder="1" applyAlignment="1" applyProtection="1">
      <alignment horizontal="left" vertical="center" wrapText="1"/>
    </xf>
    <xf numFmtId="0" fontId="59" fillId="0" borderId="54" xfId="0" applyFont="1" applyBorder="1" applyAlignment="1" applyProtection="1">
      <alignment horizontal="left" vertical="center" wrapText="1"/>
    </xf>
    <xf numFmtId="0" fontId="57" fillId="0" borderId="71" xfId="0" applyFont="1" applyBorder="1" applyAlignment="1">
      <alignment horizontal="left" vertical="center"/>
    </xf>
    <xf numFmtId="0" fontId="57" fillId="0" borderId="40" xfId="0" applyFont="1" applyBorder="1" applyAlignment="1">
      <alignment horizontal="left" vertical="center"/>
    </xf>
    <xf numFmtId="0" fontId="31" fillId="0" borderId="71" xfId="0" applyFont="1" applyBorder="1" applyAlignment="1">
      <alignment horizontal="left" vertical="center" indent="1"/>
    </xf>
    <xf numFmtId="0" fontId="31" fillId="0" borderId="40" xfId="0" applyFont="1" applyBorder="1" applyAlignment="1">
      <alignment horizontal="left" vertical="center" indent="1"/>
    </xf>
    <xf numFmtId="0" fontId="42" fillId="11" borderId="76" xfId="0" applyFont="1" applyFill="1" applyBorder="1" applyAlignment="1">
      <alignment horizontal="left" vertical="center" indent="1"/>
    </xf>
    <xf numFmtId="0" fontId="42" fillId="11" borderId="25" xfId="0" applyFont="1" applyFill="1" applyBorder="1" applyAlignment="1">
      <alignment horizontal="left" vertical="center" indent="1"/>
    </xf>
    <xf numFmtId="0" fontId="57" fillId="0" borderId="52" xfId="0" applyFont="1" applyBorder="1" applyAlignment="1">
      <alignment horizontal="left" vertical="center"/>
    </xf>
    <xf numFmtId="0" fontId="57" fillId="0" borderId="54" xfId="0" applyFont="1" applyBorder="1" applyAlignment="1">
      <alignment horizontal="left" vertical="center"/>
    </xf>
    <xf numFmtId="0" fontId="31" fillId="0" borderId="46" xfId="0" applyFont="1" applyBorder="1" applyAlignment="1">
      <alignment horizontal="left" vertical="center" indent="1"/>
    </xf>
    <xf numFmtId="0" fontId="31" fillId="0" borderId="61" xfId="0" applyFont="1" applyBorder="1" applyAlignment="1">
      <alignment horizontal="left" vertical="center" indent="1"/>
    </xf>
    <xf numFmtId="0" fontId="57" fillId="24" borderId="30" xfId="0" applyFont="1" applyFill="1" applyBorder="1" applyAlignment="1" applyProtection="1">
      <alignment horizontal="center" vertical="center" wrapText="1"/>
    </xf>
    <xf numFmtId="0" fontId="57" fillId="24" borderId="32" xfId="0" applyFont="1" applyFill="1" applyBorder="1" applyAlignment="1" applyProtection="1">
      <alignment horizontal="center" vertical="center" wrapText="1"/>
    </xf>
    <xf numFmtId="0" fontId="42" fillId="24" borderId="76" xfId="0" applyFont="1" applyFill="1" applyBorder="1" applyAlignment="1">
      <alignment horizontal="left" vertical="center" indent="1"/>
    </xf>
    <xf numFmtId="0" fontId="42" fillId="24" borderId="25" xfId="0" applyFont="1" applyFill="1" applyBorder="1" applyAlignment="1">
      <alignment horizontal="left" vertical="center" indent="1"/>
    </xf>
    <xf numFmtId="0" fontId="56" fillId="0" borderId="27" xfId="0" applyFont="1" applyBorder="1" applyAlignment="1">
      <alignment horizontal="left" vertical="center"/>
    </xf>
    <xf numFmtId="0" fontId="56" fillId="0" borderId="28" xfId="0" applyFont="1" applyBorder="1" applyAlignment="1">
      <alignment horizontal="left" vertical="center"/>
    </xf>
    <xf numFmtId="0" fontId="57" fillId="0" borderId="41" xfId="0" applyFont="1" applyBorder="1" applyAlignment="1">
      <alignment horizontal="center" vertical="center" wrapText="1"/>
    </xf>
    <xf numFmtId="0" fontId="57" fillId="0" borderId="48" xfId="0" applyFont="1" applyBorder="1" applyAlignment="1">
      <alignment horizontal="center" vertical="center" wrapText="1"/>
    </xf>
    <xf numFmtId="0" fontId="33" fillId="0" borderId="71" xfId="0" applyFont="1" applyBorder="1" applyAlignment="1" applyProtection="1">
      <alignment horizontal="left" vertical="center" indent="1"/>
    </xf>
    <xf numFmtId="0" fontId="33" fillId="0" borderId="40" xfId="0" applyFont="1" applyBorder="1" applyAlignment="1" applyProtection="1">
      <alignment horizontal="left" vertical="center" indent="1"/>
    </xf>
    <xf numFmtId="0" fontId="57" fillId="0" borderId="41" xfId="0" applyFont="1" applyBorder="1" applyAlignment="1">
      <alignment horizontal="center" vertical="center"/>
    </xf>
    <xf numFmtId="0" fontId="57" fillId="0" borderId="44" xfId="0" applyFont="1" applyBorder="1" applyAlignment="1">
      <alignment horizontal="center" vertical="center"/>
    </xf>
    <xf numFmtId="0" fontId="57" fillId="0" borderId="48" xfId="0" applyFont="1" applyBorder="1" applyAlignment="1">
      <alignment horizontal="center" vertical="center"/>
    </xf>
    <xf numFmtId="0" fontId="31" fillId="0" borderId="76" xfId="0" applyFont="1" applyBorder="1" applyAlignment="1">
      <alignment horizontal="left" vertical="center"/>
    </xf>
    <xf numFmtId="0" fontId="31" fillId="0" borderId="26" xfId="0" applyFont="1" applyBorder="1" applyAlignment="1">
      <alignment horizontal="left" vertical="center"/>
    </xf>
    <xf numFmtId="0" fontId="0" fillId="0" borderId="25" xfId="0" applyBorder="1" applyAlignment="1">
      <alignment horizontal="left" vertical="center"/>
    </xf>
    <xf numFmtId="0" fontId="57" fillId="24" borderId="76" xfId="0" applyFont="1" applyFill="1" applyBorder="1" applyAlignment="1">
      <alignment horizontal="left" vertical="center" indent="1"/>
    </xf>
    <xf numFmtId="0" fontId="57" fillId="24" borderId="26" xfId="0" applyFont="1" applyFill="1" applyBorder="1" applyAlignment="1">
      <alignment horizontal="left" vertical="center" indent="1"/>
    </xf>
    <xf numFmtId="0" fontId="42" fillId="0" borderId="76" xfId="0" applyFont="1" applyBorder="1" applyAlignment="1">
      <alignment horizontal="left" vertical="center"/>
    </xf>
    <xf numFmtId="0" fontId="42" fillId="0" borderId="26" xfId="0" applyFont="1" applyBorder="1" applyAlignment="1">
      <alignment horizontal="left" vertical="center"/>
    </xf>
    <xf numFmtId="0" fontId="33" fillId="0" borderId="52" xfId="0" applyFont="1" applyBorder="1" applyAlignment="1" applyProtection="1">
      <alignment horizontal="left" vertical="center" indent="1"/>
    </xf>
    <xf numFmtId="0" fontId="33" fillId="0" borderId="54" xfId="0" applyFont="1" applyBorder="1" applyAlignment="1" applyProtection="1">
      <alignment horizontal="left" vertical="center" indent="1"/>
    </xf>
    <xf numFmtId="0" fontId="32" fillId="0" borderId="76" xfId="0" applyFont="1" applyBorder="1" applyAlignment="1" applyProtection="1">
      <alignment horizontal="left" vertical="center"/>
    </xf>
    <xf numFmtId="0" fontId="32" fillId="0" borderId="26" xfId="0" applyFont="1" applyBorder="1" applyAlignment="1" applyProtection="1">
      <alignment horizontal="left" vertical="center"/>
    </xf>
    <xf numFmtId="0" fontId="33" fillId="0" borderId="78" xfId="0" applyFont="1" applyBorder="1" applyAlignment="1" applyProtection="1">
      <alignment horizontal="left" vertical="center" indent="1"/>
    </xf>
    <xf numFmtId="0" fontId="33" fillId="0" borderId="72" xfId="0" applyFont="1" applyBorder="1" applyAlignment="1" applyProtection="1">
      <alignment horizontal="left" vertical="center" indent="1"/>
    </xf>
    <xf numFmtId="0" fontId="33" fillId="0" borderId="76" xfId="0" applyFont="1" applyBorder="1" applyAlignment="1">
      <alignment horizontal="left" vertical="center" indent="1"/>
    </xf>
    <xf numFmtId="0" fontId="33" fillId="0" borderId="26" xfId="0" applyFont="1" applyBorder="1" applyAlignment="1">
      <alignment horizontal="left" vertical="center" indent="1"/>
    </xf>
    <xf numFmtId="0" fontId="31" fillId="0" borderId="71" xfId="0" applyFont="1" applyBorder="1" applyAlignment="1" applyProtection="1">
      <alignment horizontal="left" vertical="center"/>
    </xf>
    <xf numFmtId="0" fontId="31" fillId="0" borderId="40" xfId="0" applyFont="1" applyBorder="1" applyAlignment="1" applyProtection="1">
      <alignment horizontal="left" vertical="center"/>
    </xf>
    <xf numFmtId="0" fontId="56" fillId="0" borderId="21" xfId="0" applyFont="1" applyFill="1" applyBorder="1" applyAlignment="1">
      <alignment horizontal="left" vertical="center"/>
    </xf>
    <xf numFmtId="0" fontId="56" fillId="0" borderId="23" xfId="0" applyFont="1" applyFill="1" applyBorder="1" applyAlignment="1">
      <alignment horizontal="left" vertical="center"/>
    </xf>
    <xf numFmtId="0" fontId="56" fillId="0" borderId="30" xfId="0" applyFont="1" applyFill="1" applyBorder="1" applyAlignment="1">
      <alignment horizontal="left" vertical="center"/>
    </xf>
    <xf numFmtId="0" fontId="56" fillId="0" borderId="32" xfId="0" applyFont="1" applyFill="1" applyBorder="1" applyAlignment="1">
      <alignment horizontal="left" vertical="center"/>
    </xf>
    <xf numFmtId="0" fontId="32" fillId="0" borderId="0" xfId="0" applyFont="1" applyFill="1" applyBorder="1" applyAlignment="1">
      <alignment horizontal="left" vertical="center" wrapText="1"/>
    </xf>
    <xf numFmtId="0" fontId="33" fillId="0" borderId="0" xfId="0" applyFont="1" applyFill="1" applyBorder="1" applyAlignment="1" applyProtection="1">
      <alignment horizontal="left" vertical="center" wrapText="1"/>
    </xf>
    <xf numFmtId="0" fontId="33" fillId="0" borderId="28"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33" fillId="0" borderId="28" xfId="0" applyFont="1" applyBorder="1" applyAlignment="1" applyProtection="1">
      <alignment horizontal="left" vertical="center" wrapText="1"/>
    </xf>
    <xf numFmtId="0" fontId="32" fillId="0" borderId="0" xfId="0" applyFont="1" applyFill="1" applyBorder="1" applyAlignment="1">
      <alignment horizontal="center" vertical="center"/>
    </xf>
    <xf numFmtId="0" fontId="32" fillId="0" borderId="28" xfId="0" applyFont="1" applyFill="1" applyBorder="1" applyAlignment="1">
      <alignment horizontal="center" vertical="center"/>
    </xf>
    <xf numFmtId="176" fontId="32" fillId="0" borderId="52" xfId="0" applyNumberFormat="1" applyFont="1" applyBorder="1" applyAlignment="1">
      <alignment horizontal="center" vertical="center" wrapText="1"/>
    </xf>
    <xf numFmtId="176" fontId="32" fillId="0" borderId="80" xfId="0" applyNumberFormat="1" applyFont="1" applyBorder="1" applyAlignment="1">
      <alignment horizontal="center" vertical="center" wrapText="1"/>
    </xf>
    <xf numFmtId="0" fontId="32" fillId="0" borderId="24" xfId="0" applyFont="1" applyBorder="1" applyAlignment="1">
      <alignment horizontal="center" vertical="center" wrapText="1"/>
    </xf>
    <xf numFmtId="0" fontId="32" fillId="0" borderId="74" xfId="0" applyFont="1" applyBorder="1" applyAlignment="1">
      <alignment horizontal="center" vertical="center" wrapText="1"/>
    </xf>
    <xf numFmtId="176" fontId="32" fillId="0" borderId="71" xfId="0" applyNumberFormat="1" applyFont="1" applyBorder="1" applyAlignment="1">
      <alignment horizontal="center" vertical="center"/>
    </xf>
    <xf numFmtId="176" fontId="32" fillId="0" borderId="12" xfId="0" applyNumberFormat="1" applyFont="1" applyBorder="1" applyAlignment="1">
      <alignment horizontal="center" vertical="center"/>
    </xf>
    <xf numFmtId="0" fontId="32" fillId="0" borderId="28" xfId="0" applyFont="1" applyFill="1" applyBorder="1" applyAlignment="1">
      <alignment horizontal="left" vertical="center" wrapText="1"/>
    </xf>
    <xf numFmtId="0" fontId="32" fillId="0" borderId="0" xfId="0" applyFont="1" applyBorder="1" applyAlignment="1">
      <alignment horizontal="left" vertical="center" wrapText="1"/>
    </xf>
    <xf numFmtId="0" fontId="32" fillId="0" borderId="28" xfId="0" applyFont="1" applyBorder="1" applyAlignment="1">
      <alignment horizontal="left" vertical="center" wrapText="1"/>
    </xf>
    <xf numFmtId="0" fontId="33" fillId="0" borderId="0" xfId="0" applyFont="1" applyBorder="1" applyAlignment="1">
      <alignment horizontal="left" vertical="center" wrapText="1"/>
    </xf>
    <xf numFmtId="0" fontId="33" fillId="0" borderId="28" xfId="0" applyFont="1" applyBorder="1" applyAlignment="1">
      <alignment horizontal="left" vertical="center" wrapText="1"/>
    </xf>
    <xf numFmtId="0" fontId="41" fillId="0" borderId="0" xfId="0" applyFont="1" applyAlignment="1" applyProtection="1">
      <alignment horizontal="left"/>
    </xf>
    <xf numFmtId="0" fontId="31" fillId="0" borderId="52" xfId="69" applyFont="1" applyFill="1" applyBorder="1" applyAlignment="1" applyProtection="1">
      <alignment horizontal="center" vertical="center"/>
    </xf>
    <xf numFmtId="0" fontId="31" fillId="0" borderId="53" xfId="69" applyFont="1" applyFill="1" applyBorder="1" applyAlignment="1" applyProtection="1">
      <alignment horizontal="center" vertical="center"/>
    </xf>
    <xf numFmtId="0" fontId="31" fillId="0" borderId="10" xfId="69" applyFont="1" applyFill="1" applyBorder="1" applyAlignment="1" applyProtection="1">
      <alignment horizontal="center" vertical="center"/>
    </xf>
    <xf numFmtId="0" fontId="31" fillId="0" borderId="11" xfId="69" applyFont="1" applyFill="1" applyBorder="1" applyAlignment="1" applyProtection="1">
      <alignment horizontal="center" vertical="center"/>
    </xf>
    <xf numFmtId="0" fontId="31" fillId="0" borderId="40" xfId="69" applyFont="1" applyFill="1" applyBorder="1" applyAlignment="1" applyProtection="1">
      <alignment horizontal="center" vertical="center"/>
    </xf>
    <xf numFmtId="0" fontId="21" fillId="0" borderId="16" xfId="0" applyFont="1" applyBorder="1" applyAlignment="1">
      <alignment horizontal="center" wrapText="1"/>
    </xf>
    <xf numFmtId="0" fontId="21" fillId="0" borderId="0" xfId="0" applyFont="1" applyBorder="1" applyAlignment="1">
      <alignment horizontal="center" wrapText="1"/>
    </xf>
    <xf numFmtId="0" fontId="21" fillId="0" borderId="16" xfId="0" quotePrefix="1" applyFont="1" applyBorder="1" applyAlignment="1">
      <alignment horizontal="center" wrapText="1"/>
    </xf>
    <xf numFmtId="0" fontId="21" fillId="0" borderId="17" xfId="0" quotePrefix="1"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3" xfId="0" quotePrefix="1" applyFont="1" applyBorder="1" applyAlignment="1">
      <alignment horizontal="center" wrapText="1"/>
    </xf>
    <xf numFmtId="0" fontId="21" fillId="0" borderId="15" xfId="0" quotePrefix="1" applyFont="1" applyBorder="1" applyAlignment="1">
      <alignment horizontal="center" wrapText="1"/>
    </xf>
    <xf numFmtId="0" fontId="21" fillId="0" borderId="14" xfId="0" quotePrefix="1" applyFont="1" applyBorder="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168" fontId="74" fillId="10" borderId="0" xfId="0" applyNumberFormat="1" applyFont="1" applyFill="1" applyAlignment="1" applyProtection="1">
      <alignment horizontal="center" vertical="center"/>
      <protection locked="0"/>
    </xf>
  </cellXfs>
  <cellStyles count="83">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1" builtinId="8"/>
    <cellStyle name="Input" xfId="13" builtinId="20" hidden="1"/>
    <cellStyle name="Linked Cell" xfId="16" builtinId="24" hidden="1"/>
    <cellStyle name="Neutral" xfId="12" builtinId="28" hidden="1"/>
    <cellStyle name="Normal" xfId="0" builtinId="0"/>
    <cellStyle name="Normal 2" xfId="82"/>
    <cellStyle name="Normal 2 2" xfId="70"/>
    <cellStyle name="Normal 2_EDFE_SPN_Main_FBPQ (v030909) v4.7" xfId="77"/>
    <cellStyle name="Normal 3" xfId="63"/>
    <cellStyle name="Normal 3_EDFE_SPN_Main_FBPQ (v030909) v4.7" xfId="78"/>
    <cellStyle name="Normal 3_EPN FBPQ Connections Aug v 5 0 (opt3) Rounded" xfId="67"/>
    <cellStyle name="Normal 3_SPN FBPQ Connections Aug v 5 0 (opt3) Rounded" xfId="66"/>
    <cellStyle name="Normal_07-08 RRP - Section 5" xfId="64"/>
    <cellStyle name="Normal_CE-NEDL_0607_RRP_RAV_Draft HLFBPQ1" xfId="74"/>
    <cellStyle name="Normal_EDFE_SPN_Main_FBPQ (v030909) v4.7" xfId="76"/>
    <cellStyle name="Normal_Network Tables 07_08" xfId="62"/>
    <cellStyle name="Normal_Network Tables 07_08 2" xfId="73"/>
    <cellStyle name="Normal_Opex Tables" xfId="80"/>
    <cellStyle name="Normal_risk table" xfId="69"/>
    <cellStyle name="Normal_risk table_EDFE_SPN_Main_FBPQ (v030909) v4.7" xfId="79"/>
    <cellStyle name="Normal_RRP table 4_3 update" xfId="68"/>
    <cellStyle name="Normal_SPN FBPQ Connections Aug v 5 0 (opt3) Rounded" xfId="65"/>
    <cellStyle name="Normal_Tables for 2005-06 Cost report (linked data v2)" xfId="81"/>
    <cellStyle name="Note" xfId="19" builtinId="10" hidden="1"/>
    <cellStyle name="Output" xfId="14" builtinId="21" hidden="1"/>
    <cellStyle name="Percent" xfId="1" builtinId="5"/>
    <cellStyle name="Percent 2 2" xfId="71"/>
    <cellStyle name="Percent 3" xfId="72"/>
    <cellStyle name="Percent 4" xfId="75"/>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C39"/>
  <sheetViews>
    <sheetView showGridLines="0" topLeftCell="A16" zoomScaleNormal="100" workbookViewId="0">
      <selection activeCell="C26" sqref="C26"/>
    </sheetView>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Northern Powergrid (Yorkshire) in 2017/18  Status: April 2017 - Final Charges</v>
      </c>
    </row>
    <row r="3" spans="1:3">
      <c r="A3" s="2" t="s">
        <v>0</v>
      </c>
    </row>
    <row r="4" spans="1:3">
      <c r="A4" s="2" t="s">
        <v>1</v>
      </c>
    </row>
    <row r="5" spans="1:3">
      <c r="A5" s="2" t="s">
        <v>2</v>
      </c>
    </row>
    <row r="7" spans="1:3">
      <c r="A7" s="2" t="s">
        <v>3</v>
      </c>
    </row>
    <row r="9" spans="1:3">
      <c r="A9" s="13" t="s">
        <v>1001</v>
      </c>
      <c r="B9" s="13"/>
      <c r="C9" s="13" t="s">
        <v>4</v>
      </c>
    </row>
    <row r="10" spans="1:3">
      <c r="A10" s="2" t="s">
        <v>5</v>
      </c>
      <c r="C10" s="2" t="s">
        <v>6</v>
      </c>
    </row>
    <row r="11" spans="1:3">
      <c r="A11" s="2" t="s">
        <v>7</v>
      </c>
      <c r="C11" s="2" t="s">
        <v>8</v>
      </c>
    </row>
    <row r="12" spans="1:3">
      <c r="A12" s="2" t="s">
        <v>9</v>
      </c>
      <c r="C12" s="2" t="s">
        <v>8</v>
      </c>
    </row>
    <row r="13" spans="1:3">
      <c r="A13" s="2" t="s">
        <v>10</v>
      </c>
      <c r="C13" s="2" t="s">
        <v>1008</v>
      </c>
    </row>
    <row r="14" spans="1:3">
      <c r="A14" s="2" t="s">
        <v>11</v>
      </c>
      <c r="C14" s="2" t="s">
        <v>1008</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1010</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1002</v>
      </c>
      <c r="B29" s="13"/>
      <c r="C29" s="13" t="s">
        <v>4</v>
      </c>
    </row>
    <row r="30" spans="1:3">
      <c r="A30" s="2" t="s">
        <v>26</v>
      </c>
      <c r="C30" s="2" t="s">
        <v>27</v>
      </c>
    </row>
    <row r="31" spans="1:3">
      <c r="A31" s="2" t="s">
        <v>28</v>
      </c>
      <c r="C31" s="2" t="s">
        <v>27</v>
      </c>
    </row>
    <row r="32" spans="1:3">
      <c r="A32" s="2" t="s">
        <v>29</v>
      </c>
      <c r="C32" s="2" t="s">
        <v>27</v>
      </c>
    </row>
    <row r="33" spans="1:3">
      <c r="A33" s="41" t="s">
        <v>998</v>
      </c>
      <c r="B33" s="2" t="s">
        <v>1011</v>
      </c>
      <c r="C33" s="2" t="s">
        <v>27</v>
      </c>
    </row>
    <row r="34" spans="1:3">
      <c r="A34" s="41" t="s">
        <v>30</v>
      </c>
      <c r="C34" s="2" t="s">
        <v>27</v>
      </c>
    </row>
    <row r="35" spans="1:3">
      <c r="A35" s="41" t="s">
        <v>999</v>
      </c>
      <c r="B35" s="2" t="s">
        <v>1011</v>
      </c>
      <c r="C35" s="2" t="s">
        <v>27</v>
      </c>
    </row>
    <row r="36" spans="1:3">
      <c r="A36" s="41" t="s">
        <v>1000</v>
      </c>
      <c r="C36" s="2" t="s">
        <v>27</v>
      </c>
    </row>
    <row r="37" spans="1:3">
      <c r="A37" s="41"/>
    </row>
    <row r="38" spans="1:3">
      <c r="A38" s="42" t="s">
        <v>1003</v>
      </c>
      <c r="B38" s="13"/>
      <c r="C38" s="13" t="s">
        <v>4</v>
      </c>
    </row>
    <row r="39" spans="1:3">
      <c r="A39" s="2" t="s">
        <v>1004</v>
      </c>
      <c r="C39" s="2" t="s">
        <v>31</v>
      </c>
    </row>
  </sheetData>
  <sheetProtection sheet="1" objects="1" scenarios="1"/>
  <phoneticPr fontId="1"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5FFFF"/>
    <pageSetUpPr fitToPage="1"/>
  </sheetPr>
  <dimension ref="A1:X137"/>
  <sheetViews>
    <sheetView zoomScaleSheetLayoutView="85" workbookViewId="0">
      <selection sqref="A1:XFD1048576"/>
    </sheetView>
  </sheetViews>
  <sheetFormatPr defaultColWidth="10.28515625" defaultRowHeight="12.75"/>
  <cols>
    <col min="1" max="1" width="3.28515625" style="944" customWidth="1"/>
    <col min="2" max="2" width="30.85546875" style="944" customWidth="1"/>
    <col min="3" max="3" width="14.42578125" style="944" customWidth="1"/>
    <col min="4" max="25" width="15" style="944" customWidth="1"/>
    <col min="26" max="16384" width="10.28515625" style="944"/>
  </cols>
  <sheetData>
    <row r="1" spans="1:13" s="812" customFormat="1" ht="26.25">
      <c r="A1" s="808" t="s">
        <v>363</v>
      </c>
      <c r="B1" s="809"/>
      <c r="C1" s="810"/>
      <c r="D1" s="810"/>
      <c r="E1" s="810"/>
      <c r="F1" s="810"/>
      <c r="G1" s="811"/>
    </row>
    <row r="2" spans="1:13" s="812" customFormat="1" ht="18">
      <c r="A2" s="809" t="s">
        <v>1017</v>
      </c>
      <c r="B2" s="813"/>
    </row>
    <row r="3" spans="1:13" s="816" customFormat="1" ht="27" thickBot="1">
      <c r="A3" s="814" t="s">
        <v>488</v>
      </c>
      <c r="B3" s="815"/>
      <c r="D3" s="817"/>
    </row>
    <row r="5" spans="1:13" s="818" customFormat="1" ht="15.75" customHeight="1">
      <c r="B5" s="819" t="s">
        <v>489</v>
      </c>
    </row>
    <row r="6" spans="1:13" s="818" customFormat="1" ht="15.75" customHeight="1" thickBot="1"/>
    <row r="7" spans="1:13" s="818" customFormat="1" ht="15.75" customHeight="1">
      <c r="B7" s="1560"/>
      <c r="C7" s="1561"/>
      <c r="D7" s="820" t="s">
        <v>211</v>
      </c>
      <c r="E7" s="821"/>
      <c r="F7" s="821"/>
      <c r="G7" s="821"/>
      <c r="H7" s="822"/>
      <c r="I7" s="820" t="s">
        <v>212</v>
      </c>
      <c r="J7" s="823"/>
      <c r="K7" s="823"/>
      <c r="L7" s="823"/>
      <c r="M7" s="822"/>
    </row>
    <row r="8" spans="1:13" s="818" customFormat="1" ht="15.75" customHeight="1">
      <c r="B8" s="1562"/>
      <c r="C8" s="1563"/>
      <c r="D8" s="824" t="s">
        <v>99</v>
      </c>
      <c r="E8" s="825" t="s">
        <v>100</v>
      </c>
      <c r="F8" s="825" t="s">
        <v>101</v>
      </c>
      <c r="G8" s="825" t="s">
        <v>102</v>
      </c>
      <c r="H8" s="826" t="s">
        <v>64</v>
      </c>
      <c r="I8" s="824" t="s">
        <v>213</v>
      </c>
      <c r="J8" s="825" t="s">
        <v>214</v>
      </c>
      <c r="K8" s="825" t="s">
        <v>215</v>
      </c>
      <c r="L8" s="825" t="s">
        <v>216</v>
      </c>
      <c r="M8" s="826" t="s">
        <v>217</v>
      </c>
    </row>
    <row r="9" spans="1:13" s="818" customFormat="1" ht="15.75" customHeight="1">
      <c r="B9" s="827" t="s">
        <v>490</v>
      </c>
      <c r="C9" s="828"/>
      <c r="D9" s="829"/>
      <c r="E9" s="830"/>
      <c r="F9" s="830"/>
      <c r="G9" s="830"/>
      <c r="H9" s="831"/>
      <c r="I9" s="829"/>
      <c r="J9" s="830"/>
      <c r="K9" s="830"/>
      <c r="L9" s="830"/>
      <c r="M9" s="831"/>
    </row>
    <row r="10" spans="1:13" s="818" customFormat="1" ht="15.75" customHeight="1">
      <c r="B10" s="832" t="s">
        <v>491</v>
      </c>
      <c r="C10" s="828" t="s">
        <v>223</v>
      </c>
      <c r="D10" s="833">
        <f t="shared" ref="D10:M10" si="0">D37+D46</f>
        <v>0</v>
      </c>
      <c r="E10" s="834">
        <f t="shared" si="0"/>
        <v>0</v>
      </c>
      <c r="F10" s="834">
        <f t="shared" si="0"/>
        <v>0</v>
      </c>
      <c r="G10" s="834">
        <f t="shared" si="0"/>
        <v>0</v>
      </c>
      <c r="H10" s="831">
        <f t="shared" si="0"/>
        <v>0</v>
      </c>
      <c r="I10" s="833">
        <f t="shared" si="0"/>
        <v>0</v>
      </c>
      <c r="J10" s="835">
        <f t="shared" si="0"/>
        <v>0</v>
      </c>
      <c r="K10" s="835">
        <f t="shared" si="0"/>
        <v>0</v>
      </c>
      <c r="L10" s="835">
        <f t="shared" si="0"/>
        <v>0</v>
      </c>
      <c r="M10" s="836">
        <f t="shared" si="0"/>
        <v>0</v>
      </c>
    </row>
    <row r="11" spans="1:13" s="818" customFormat="1" ht="15.75" customHeight="1">
      <c r="B11" s="832" t="s">
        <v>492</v>
      </c>
      <c r="C11" s="828" t="s">
        <v>223</v>
      </c>
      <c r="D11" s="837"/>
      <c r="E11" s="837"/>
      <c r="F11" s="837"/>
      <c r="G11" s="837"/>
      <c r="H11" s="838"/>
      <c r="I11" s="839"/>
      <c r="J11" s="840"/>
      <c r="K11" s="840"/>
      <c r="L11" s="840"/>
      <c r="M11" s="841"/>
    </row>
    <row r="12" spans="1:13" s="818" customFormat="1" ht="15.75" customHeight="1">
      <c r="B12" s="832" t="s">
        <v>493</v>
      </c>
      <c r="C12" s="828" t="s">
        <v>223</v>
      </c>
      <c r="D12" s="837"/>
      <c r="E12" s="837"/>
      <c r="F12" s="837"/>
      <c r="G12" s="837"/>
      <c r="H12" s="838"/>
      <c r="I12" s="839"/>
      <c r="J12" s="840"/>
      <c r="K12" s="840"/>
      <c r="L12" s="840"/>
      <c r="M12" s="841"/>
    </row>
    <row r="13" spans="1:13" s="818" customFormat="1" ht="15.75" customHeight="1">
      <c r="B13" s="827" t="s">
        <v>494</v>
      </c>
      <c r="C13" s="828"/>
      <c r="D13" s="829"/>
      <c r="E13" s="830"/>
      <c r="F13" s="830"/>
      <c r="G13" s="830"/>
      <c r="H13" s="831"/>
      <c r="I13" s="829"/>
      <c r="J13" s="830"/>
      <c r="K13" s="830"/>
      <c r="L13" s="830"/>
      <c r="M13" s="831"/>
    </row>
    <row r="14" spans="1:13" s="818" customFormat="1" ht="15.75" customHeight="1">
      <c r="B14" s="832" t="s">
        <v>495</v>
      </c>
      <c r="C14" s="828" t="s">
        <v>223</v>
      </c>
      <c r="D14" s="837"/>
      <c r="E14" s="837"/>
      <c r="F14" s="837"/>
      <c r="G14" s="837"/>
      <c r="H14" s="838"/>
      <c r="I14" s="839"/>
      <c r="J14" s="840"/>
      <c r="K14" s="840"/>
      <c r="L14" s="840"/>
      <c r="M14" s="841"/>
    </row>
    <row r="15" spans="1:13" s="818" customFormat="1" ht="15.75" customHeight="1">
      <c r="B15" s="832" t="s">
        <v>496</v>
      </c>
      <c r="C15" s="828" t="s">
        <v>223</v>
      </c>
      <c r="D15" s="837"/>
      <c r="E15" s="837"/>
      <c r="F15" s="837"/>
      <c r="G15" s="837"/>
      <c r="H15" s="838"/>
      <c r="I15" s="839"/>
      <c r="J15" s="840"/>
      <c r="K15" s="840"/>
      <c r="L15" s="840"/>
      <c r="M15" s="841"/>
    </row>
    <row r="16" spans="1:13" s="818" customFormat="1" ht="15.75" customHeight="1">
      <c r="B16" s="832" t="s">
        <v>497</v>
      </c>
      <c r="C16" s="828" t="s">
        <v>223</v>
      </c>
      <c r="D16" s="837"/>
      <c r="E16" s="837"/>
      <c r="F16" s="837"/>
      <c r="G16" s="837"/>
      <c r="H16" s="838"/>
      <c r="I16" s="839"/>
      <c r="J16" s="840"/>
      <c r="K16" s="840"/>
      <c r="L16" s="840"/>
      <c r="M16" s="841"/>
    </row>
    <row r="17" spans="2:13" s="818" customFormat="1" ht="15.75" customHeight="1">
      <c r="B17" s="827" t="s">
        <v>435</v>
      </c>
      <c r="C17" s="828"/>
      <c r="D17" s="829"/>
      <c r="E17" s="830"/>
      <c r="F17" s="830"/>
      <c r="G17" s="830"/>
      <c r="H17" s="831"/>
      <c r="I17" s="829"/>
      <c r="J17" s="830"/>
      <c r="K17" s="830"/>
      <c r="L17" s="830"/>
      <c r="M17" s="831"/>
    </row>
    <row r="18" spans="2:13" s="818" customFormat="1" ht="15.75" customHeight="1">
      <c r="B18" s="832" t="s">
        <v>498</v>
      </c>
      <c r="C18" s="828" t="s">
        <v>223</v>
      </c>
      <c r="D18" s="837"/>
      <c r="E18" s="837"/>
      <c r="F18" s="837"/>
      <c r="G18" s="837"/>
      <c r="H18" s="838"/>
      <c r="I18" s="839"/>
      <c r="J18" s="840"/>
      <c r="K18" s="840"/>
      <c r="L18" s="840"/>
      <c r="M18" s="841"/>
    </row>
    <row r="19" spans="2:13" s="818" customFormat="1" ht="15.75" customHeight="1">
      <c r="B19" s="832" t="s">
        <v>499</v>
      </c>
      <c r="C19" s="828" t="s">
        <v>223</v>
      </c>
      <c r="D19" s="837"/>
      <c r="E19" s="837"/>
      <c r="F19" s="837"/>
      <c r="G19" s="837"/>
      <c r="H19" s="838"/>
      <c r="I19" s="839"/>
      <c r="J19" s="840"/>
      <c r="K19" s="840"/>
      <c r="L19" s="840"/>
      <c r="M19" s="841"/>
    </row>
    <row r="20" spans="2:13" s="818" customFormat="1" ht="15.75" customHeight="1">
      <c r="B20" s="832" t="s">
        <v>500</v>
      </c>
      <c r="C20" s="828" t="s">
        <v>223</v>
      </c>
      <c r="D20" s="837"/>
      <c r="E20" s="837"/>
      <c r="F20" s="837"/>
      <c r="G20" s="837"/>
      <c r="H20" s="838"/>
      <c r="I20" s="839"/>
      <c r="J20" s="840"/>
      <c r="K20" s="840"/>
      <c r="L20" s="840"/>
      <c r="M20" s="841"/>
    </row>
    <row r="21" spans="2:13" s="818" customFormat="1" ht="15.75" customHeight="1">
      <c r="B21" s="832" t="s">
        <v>501</v>
      </c>
      <c r="C21" s="828" t="s">
        <v>223</v>
      </c>
      <c r="D21" s="837"/>
      <c r="E21" s="837"/>
      <c r="F21" s="837"/>
      <c r="G21" s="837"/>
      <c r="H21" s="838"/>
      <c r="I21" s="839"/>
      <c r="J21" s="840"/>
      <c r="K21" s="840"/>
      <c r="L21" s="840"/>
      <c r="M21" s="841"/>
    </row>
    <row r="22" spans="2:13" s="844" customFormat="1" ht="15.75" customHeight="1">
      <c r="B22" s="842"/>
      <c r="C22" s="843" t="s">
        <v>223</v>
      </c>
      <c r="D22" s="837"/>
      <c r="E22" s="837"/>
      <c r="F22" s="837"/>
      <c r="G22" s="837"/>
      <c r="H22" s="838"/>
      <c r="I22" s="839"/>
      <c r="J22" s="840"/>
      <c r="K22" s="840"/>
      <c r="L22" s="840"/>
      <c r="M22" s="841"/>
    </row>
    <row r="23" spans="2:13" s="844" customFormat="1" ht="15.75" customHeight="1">
      <c r="B23" s="842" t="s">
        <v>502</v>
      </c>
      <c r="C23" s="843" t="s">
        <v>223</v>
      </c>
      <c r="D23" s="845"/>
      <c r="E23" s="845"/>
      <c r="F23" s="845"/>
      <c r="G23" s="845"/>
      <c r="H23" s="846"/>
      <c r="I23" s="847"/>
      <c r="J23" s="848"/>
      <c r="K23" s="848"/>
      <c r="L23" s="848"/>
      <c r="M23" s="849"/>
    </row>
    <row r="24" spans="2:13" s="844" customFormat="1" ht="15.75" customHeight="1">
      <c r="B24" s="842" t="s">
        <v>503</v>
      </c>
      <c r="C24" s="843" t="s">
        <v>223</v>
      </c>
      <c r="D24" s="845"/>
      <c r="E24" s="845"/>
      <c r="F24" s="845"/>
      <c r="G24" s="845"/>
      <c r="H24" s="846"/>
      <c r="I24" s="847"/>
      <c r="J24" s="848"/>
      <c r="K24" s="848"/>
      <c r="L24" s="848"/>
      <c r="M24" s="849"/>
    </row>
    <row r="25" spans="2:13" s="844" customFormat="1" ht="15.75" customHeight="1" thickBot="1">
      <c r="B25" s="850" t="s">
        <v>220</v>
      </c>
      <c r="C25" s="851" t="s">
        <v>223</v>
      </c>
      <c r="D25" s="852">
        <f t="shared" ref="D25:M25" si="1">SUM(D10:D24)</f>
        <v>0</v>
      </c>
      <c r="E25" s="853">
        <f t="shared" si="1"/>
        <v>0</v>
      </c>
      <c r="F25" s="853">
        <f t="shared" si="1"/>
        <v>0</v>
      </c>
      <c r="G25" s="853">
        <f t="shared" si="1"/>
        <v>0</v>
      </c>
      <c r="H25" s="853">
        <f t="shared" si="1"/>
        <v>0</v>
      </c>
      <c r="I25" s="852">
        <f t="shared" si="1"/>
        <v>0</v>
      </c>
      <c r="J25" s="853">
        <f t="shared" si="1"/>
        <v>0</v>
      </c>
      <c r="K25" s="853">
        <f t="shared" si="1"/>
        <v>0</v>
      </c>
      <c r="L25" s="853">
        <f t="shared" si="1"/>
        <v>0</v>
      </c>
      <c r="M25" s="854">
        <f t="shared" si="1"/>
        <v>0</v>
      </c>
    </row>
    <row r="26" spans="2:13" s="818" customFormat="1" ht="15.75" customHeight="1">
      <c r="B26" s="855"/>
      <c r="C26" s="856"/>
      <c r="D26" s="857"/>
      <c r="E26" s="857"/>
      <c r="F26" s="857"/>
    </row>
    <row r="27" spans="2:13" s="818" customFormat="1" ht="15.75" customHeight="1"/>
    <row r="28" spans="2:13" s="818" customFormat="1" ht="15.75" customHeight="1">
      <c r="B28" s="819" t="s">
        <v>504</v>
      </c>
      <c r="C28" s="819"/>
      <c r="D28" s="819"/>
      <c r="E28" s="819"/>
      <c r="F28" s="819"/>
      <c r="G28" s="819"/>
      <c r="H28" s="819"/>
      <c r="I28" s="819"/>
      <c r="J28" s="819"/>
      <c r="K28" s="819"/>
    </row>
    <row r="29" spans="2:13" s="818" customFormat="1" ht="15.75" customHeight="1">
      <c r="B29" s="819"/>
      <c r="C29" s="819"/>
      <c r="D29" s="819"/>
      <c r="E29" s="819"/>
      <c r="F29" s="819"/>
      <c r="G29" s="819"/>
      <c r="H29" s="819"/>
      <c r="I29" s="819"/>
      <c r="J29" s="819"/>
      <c r="K29" s="819"/>
    </row>
    <row r="30" spans="2:13" s="818" customFormat="1" ht="15.75" customHeight="1" thickBot="1">
      <c r="B30" s="858" t="s">
        <v>505</v>
      </c>
      <c r="C30" s="819"/>
      <c r="D30" s="819"/>
      <c r="E30" s="819"/>
      <c r="F30" s="819"/>
      <c r="G30" s="819"/>
      <c r="H30" s="819"/>
      <c r="I30" s="819"/>
      <c r="J30" s="819"/>
      <c r="K30" s="819"/>
    </row>
    <row r="31" spans="2:13" s="818" customFormat="1" ht="15.75" customHeight="1">
      <c r="B31" s="1560"/>
      <c r="C31" s="1561"/>
      <c r="D31" s="821" t="s">
        <v>211</v>
      </c>
      <c r="E31" s="821"/>
      <c r="F31" s="821"/>
      <c r="G31" s="821"/>
      <c r="H31" s="822"/>
      <c r="I31" s="820" t="s">
        <v>212</v>
      </c>
      <c r="J31" s="823"/>
      <c r="K31" s="823"/>
      <c r="L31" s="823"/>
      <c r="M31" s="822"/>
    </row>
    <row r="32" spans="2:13" s="818" customFormat="1" ht="15.75" customHeight="1">
      <c r="B32" s="1562"/>
      <c r="C32" s="1563"/>
      <c r="D32" s="859" t="s">
        <v>99</v>
      </c>
      <c r="E32" s="825" t="s">
        <v>100</v>
      </c>
      <c r="F32" s="825" t="s">
        <v>101</v>
      </c>
      <c r="G32" s="825" t="s">
        <v>102</v>
      </c>
      <c r="H32" s="826" t="s">
        <v>64</v>
      </c>
      <c r="I32" s="824" t="s">
        <v>213</v>
      </c>
      <c r="J32" s="825" t="s">
        <v>214</v>
      </c>
      <c r="K32" s="825" t="s">
        <v>215</v>
      </c>
      <c r="L32" s="825" t="s">
        <v>216</v>
      </c>
      <c r="M32" s="826" t="s">
        <v>217</v>
      </c>
    </row>
    <row r="33" spans="2:13" s="818" customFormat="1" ht="15.75" customHeight="1">
      <c r="B33" s="832" t="s">
        <v>438</v>
      </c>
      <c r="C33" s="828" t="s">
        <v>223</v>
      </c>
      <c r="D33" s="837"/>
      <c r="E33" s="837"/>
      <c r="F33" s="837"/>
      <c r="G33" s="837"/>
      <c r="H33" s="838"/>
      <c r="I33" s="839"/>
      <c r="J33" s="840"/>
      <c r="K33" s="840"/>
      <c r="L33" s="840"/>
      <c r="M33" s="841"/>
    </row>
    <row r="34" spans="2:13" s="818" customFormat="1" ht="15.75" customHeight="1">
      <c r="B34" s="832" t="s">
        <v>245</v>
      </c>
      <c r="C34" s="828" t="s">
        <v>223</v>
      </c>
      <c r="D34" s="837"/>
      <c r="E34" s="837"/>
      <c r="F34" s="837"/>
      <c r="G34" s="837"/>
      <c r="H34" s="838"/>
      <c r="I34" s="839"/>
      <c r="J34" s="840"/>
      <c r="K34" s="840"/>
      <c r="L34" s="840"/>
      <c r="M34" s="841"/>
    </row>
    <row r="35" spans="2:13" s="818" customFormat="1" ht="15.75" customHeight="1">
      <c r="B35" s="832" t="s">
        <v>427</v>
      </c>
      <c r="C35" s="828" t="s">
        <v>223</v>
      </c>
      <c r="D35" s="837"/>
      <c r="E35" s="837"/>
      <c r="F35" s="837"/>
      <c r="G35" s="837"/>
      <c r="H35" s="838"/>
      <c r="I35" s="839"/>
      <c r="J35" s="840"/>
      <c r="K35" s="840"/>
      <c r="L35" s="840"/>
      <c r="M35" s="841"/>
    </row>
    <row r="36" spans="2:13" s="818" customFormat="1" ht="15.75" customHeight="1">
      <c r="B36" s="832" t="s">
        <v>506</v>
      </c>
      <c r="C36" s="860" t="s">
        <v>223</v>
      </c>
      <c r="D36" s="837"/>
      <c r="E36" s="837"/>
      <c r="F36" s="837"/>
      <c r="G36" s="837"/>
      <c r="H36" s="838"/>
      <c r="I36" s="839"/>
      <c r="J36" s="840"/>
      <c r="K36" s="840"/>
      <c r="L36" s="840"/>
      <c r="M36" s="841"/>
    </row>
    <row r="37" spans="2:13" s="818" customFormat="1" ht="15.75" customHeight="1" thickBot="1">
      <c r="B37" s="861" t="s">
        <v>220</v>
      </c>
      <c r="C37" s="862" t="s">
        <v>223</v>
      </c>
      <c r="D37" s="863">
        <f t="shared" ref="D37:M37" si="2">SUM(D33:D36)</f>
        <v>0</v>
      </c>
      <c r="E37" s="864">
        <f t="shared" si="2"/>
        <v>0</v>
      </c>
      <c r="F37" s="864">
        <f t="shared" si="2"/>
        <v>0</v>
      </c>
      <c r="G37" s="864">
        <f t="shared" si="2"/>
        <v>0</v>
      </c>
      <c r="H37" s="865">
        <f t="shared" si="2"/>
        <v>0</v>
      </c>
      <c r="I37" s="866">
        <f t="shared" si="2"/>
        <v>0</v>
      </c>
      <c r="J37" s="864">
        <f t="shared" si="2"/>
        <v>0</v>
      </c>
      <c r="K37" s="864">
        <f t="shared" si="2"/>
        <v>0</v>
      </c>
      <c r="L37" s="864">
        <f t="shared" si="2"/>
        <v>0</v>
      </c>
      <c r="M37" s="865">
        <f t="shared" si="2"/>
        <v>0</v>
      </c>
    </row>
    <row r="38" spans="2:13" s="818" customFormat="1" ht="15.75" customHeight="1"/>
    <row r="39" spans="2:13" s="818" customFormat="1" ht="15.75" customHeight="1" thickBot="1">
      <c r="B39" s="858" t="s">
        <v>507</v>
      </c>
      <c r="C39" s="819"/>
      <c r="D39" s="819"/>
      <c r="E39" s="819"/>
      <c r="F39" s="819"/>
      <c r="G39" s="819"/>
      <c r="H39" s="819"/>
      <c r="I39" s="819"/>
      <c r="J39" s="819"/>
      <c r="K39" s="819"/>
    </row>
    <row r="40" spans="2:13" s="818" customFormat="1" ht="15.75" customHeight="1">
      <c r="B40" s="1560"/>
      <c r="C40" s="1561"/>
      <c r="D40" s="821" t="s">
        <v>211</v>
      </c>
      <c r="E40" s="821"/>
      <c r="F40" s="821"/>
      <c r="G40" s="821"/>
      <c r="H40" s="822"/>
      <c r="I40" s="820" t="s">
        <v>212</v>
      </c>
      <c r="J40" s="823"/>
      <c r="K40" s="823"/>
      <c r="L40" s="823"/>
      <c r="M40" s="822"/>
    </row>
    <row r="41" spans="2:13" s="818" customFormat="1" ht="15.75" customHeight="1">
      <c r="B41" s="1562"/>
      <c r="C41" s="1563"/>
      <c r="D41" s="859" t="s">
        <v>99</v>
      </c>
      <c r="E41" s="825" t="s">
        <v>100</v>
      </c>
      <c r="F41" s="825" t="s">
        <v>101</v>
      </c>
      <c r="G41" s="825" t="s">
        <v>102</v>
      </c>
      <c r="H41" s="826" t="s">
        <v>64</v>
      </c>
      <c r="I41" s="824" t="s">
        <v>213</v>
      </c>
      <c r="J41" s="825" t="s">
        <v>214</v>
      </c>
      <c r="K41" s="825" t="s">
        <v>215</v>
      </c>
      <c r="L41" s="825" t="s">
        <v>216</v>
      </c>
      <c r="M41" s="826" t="s">
        <v>217</v>
      </c>
    </row>
    <row r="42" spans="2:13" s="818" customFormat="1" ht="15.75" customHeight="1">
      <c r="B42" s="832" t="s">
        <v>438</v>
      </c>
      <c r="C42" s="828" t="s">
        <v>223</v>
      </c>
      <c r="D42" s="867"/>
      <c r="E42" s="868"/>
      <c r="F42" s="837"/>
      <c r="G42" s="837"/>
      <c r="H42" s="838"/>
      <c r="I42" s="839"/>
      <c r="J42" s="840"/>
      <c r="K42" s="840"/>
      <c r="L42" s="840"/>
      <c r="M42" s="841"/>
    </row>
    <row r="43" spans="2:13" s="818" customFormat="1" ht="15.75" customHeight="1">
      <c r="B43" s="832" t="s">
        <v>245</v>
      </c>
      <c r="C43" s="828" t="s">
        <v>223</v>
      </c>
      <c r="D43" s="867"/>
      <c r="E43" s="868"/>
      <c r="F43" s="837"/>
      <c r="G43" s="837"/>
      <c r="H43" s="838"/>
      <c r="I43" s="839"/>
      <c r="J43" s="840"/>
      <c r="K43" s="840"/>
      <c r="L43" s="840"/>
      <c r="M43" s="841"/>
    </row>
    <row r="44" spans="2:13" s="818" customFormat="1" ht="15.75" customHeight="1">
      <c r="B44" s="832" t="s">
        <v>427</v>
      </c>
      <c r="C44" s="828" t="s">
        <v>223</v>
      </c>
      <c r="D44" s="867"/>
      <c r="E44" s="868"/>
      <c r="F44" s="837"/>
      <c r="G44" s="837"/>
      <c r="H44" s="838"/>
      <c r="I44" s="839"/>
      <c r="J44" s="840"/>
      <c r="K44" s="840"/>
      <c r="L44" s="840"/>
      <c r="M44" s="841"/>
    </row>
    <row r="45" spans="2:13" s="818" customFormat="1" ht="15.75" customHeight="1">
      <c r="B45" s="832" t="s">
        <v>506</v>
      </c>
      <c r="C45" s="860" t="s">
        <v>223</v>
      </c>
      <c r="D45" s="867"/>
      <c r="E45" s="868"/>
      <c r="F45" s="837"/>
      <c r="G45" s="837"/>
      <c r="H45" s="838"/>
      <c r="I45" s="839"/>
      <c r="J45" s="840"/>
      <c r="K45" s="840"/>
      <c r="L45" s="840"/>
      <c r="M45" s="841"/>
    </row>
    <row r="46" spans="2:13" s="818" customFormat="1" ht="15.75" customHeight="1" thickBot="1">
      <c r="B46" s="861" t="s">
        <v>220</v>
      </c>
      <c r="C46" s="862" t="s">
        <v>223</v>
      </c>
      <c r="D46" s="863">
        <f t="shared" ref="D46:M46" si="3">SUM(D42:D45)</f>
        <v>0</v>
      </c>
      <c r="E46" s="864">
        <f t="shared" si="3"/>
        <v>0</v>
      </c>
      <c r="F46" s="864">
        <f t="shared" si="3"/>
        <v>0</v>
      </c>
      <c r="G46" s="864">
        <f t="shared" si="3"/>
        <v>0</v>
      </c>
      <c r="H46" s="865">
        <f t="shared" si="3"/>
        <v>0</v>
      </c>
      <c r="I46" s="866">
        <f t="shared" si="3"/>
        <v>0</v>
      </c>
      <c r="J46" s="864">
        <f t="shared" si="3"/>
        <v>0</v>
      </c>
      <c r="K46" s="864">
        <f t="shared" si="3"/>
        <v>0</v>
      </c>
      <c r="L46" s="864">
        <f t="shared" si="3"/>
        <v>0</v>
      </c>
      <c r="M46" s="865">
        <f t="shared" si="3"/>
        <v>0</v>
      </c>
    </row>
    <row r="47" spans="2:13" s="818" customFormat="1" ht="15.75" customHeight="1"/>
    <row r="48" spans="2:13" s="818" customFormat="1" ht="15.75" customHeight="1">
      <c r="B48" s="819" t="s">
        <v>508</v>
      </c>
      <c r="C48" s="819"/>
      <c r="D48" s="819"/>
      <c r="E48" s="819"/>
      <c r="F48" s="819"/>
      <c r="G48" s="819"/>
      <c r="H48" s="819"/>
      <c r="I48" s="819"/>
      <c r="J48" s="819"/>
      <c r="K48" s="819"/>
      <c r="L48" s="819"/>
    </row>
    <row r="49" spans="2:24" s="818" customFormat="1" ht="15.75" customHeight="1" thickBot="1">
      <c r="B49" s="858"/>
      <c r="C49" s="819"/>
      <c r="D49" s="819"/>
      <c r="E49" s="819"/>
      <c r="F49" s="819"/>
      <c r="G49" s="819"/>
      <c r="H49" s="819"/>
      <c r="I49" s="819"/>
      <c r="J49" s="819"/>
      <c r="K49" s="819"/>
      <c r="L49" s="819"/>
    </row>
    <row r="50" spans="2:24" s="818" customFormat="1" ht="15.75" customHeight="1">
      <c r="B50" s="869"/>
      <c r="C50" s="870" t="s">
        <v>509</v>
      </c>
      <c r="D50" s="871" t="s">
        <v>510</v>
      </c>
      <c r="E50" s="871" t="s">
        <v>511</v>
      </c>
      <c r="F50" s="871" t="s">
        <v>512</v>
      </c>
      <c r="G50" s="871" t="s">
        <v>513</v>
      </c>
      <c r="H50" s="872" t="s">
        <v>514</v>
      </c>
      <c r="I50" s="819"/>
    </row>
    <row r="51" spans="2:24" s="818" customFormat="1" ht="15.75" customHeight="1">
      <c r="B51" s="873" t="s">
        <v>438</v>
      </c>
      <c r="C51" s="874"/>
      <c r="D51" s="875"/>
      <c r="E51" s="876"/>
      <c r="F51" s="875"/>
      <c r="G51" s="875"/>
      <c r="H51" s="877"/>
      <c r="I51" s="819"/>
    </row>
    <row r="52" spans="2:24" s="818" customFormat="1" ht="15.75" customHeight="1">
      <c r="B52" s="873" t="s">
        <v>245</v>
      </c>
      <c r="C52" s="874"/>
      <c r="D52" s="875"/>
      <c r="E52" s="876"/>
      <c r="F52" s="875"/>
      <c r="G52" s="875"/>
      <c r="H52" s="877"/>
      <c r="I52" s="819"/>
    </row>
    <row r="53" spans="2:24" s="818" customFormat="1" ht="15.75" customHeight="1">
      <c r="B53" s="873" t="s">
        <v>427</v>
      </c>
      <c r="C53" s="874"/>
      <c r="D53" s="875"/>
      <c r="E53" s="876"/>
      <c r="F53" s="875"/>
      <c r="G53" s="875"/>
      <c r="H53" s="877"/>
      <c r="I53" s="819"/>
    </row>
    <row r="54" spans="2:24" s="818" customFormat="1" ht="15.75" customHeight="1">
      <c r="B54" s="873" t="s">
        <v>506</v>
      </c>
      <c r="C54" s="874"/>
      <c r="D54" s="875"/>
      <c r="E54" s="876"/>
      <c r="F54" s="875"/>
      <c r="G54" s="875"/>
      <c r="H54" s="877"/>
      <c r="I54" s="819"/>
    </row>
    <row r="55" spans="2:24" s="818" customFormat="1" ht="15.75" customHeight="1" thickBot="1">
      <c r="B55" s="878" t="s">
        <v>220</v>
      </c>
      <c r="C55" s="879">
        <f t="shared" ref="C55:H55" si="4">SUM(C51:C54)</f>
        <v>0</v>
      </c>
      <c r="D55" s="880">
        <f t="shared" si="4"/>
        <v>0</v>
      </c>
      <c r="E55" s="880">
        <f t="shared" si="4"/>
        <v>0</v>
      </c>
      <c r="F55" s="880">
        <f t="shared" si="4"/>
        <v>0</v>
      </c>
      <c r="G55" s="880">
        <f t="shared" si="4"/>
        <v>0</v>
      </c>
      <c r="H55" s="881">
        <f t="shared" si="4"/>
        <v>0</v>
      </c>
      <c r="I55" s="819"/>
    </row>
    <row r="56" spans="2:24" s="818" customFormat="1" ht="15.75" customHeight="1">
      <c r="B56" s="819"/>
      <c r="C56" s="819"/>
      <c r="D56" s="819"/>
      <c r="E56" s="819"/>
      <c r="F56" s="819"/>
      <c r="G56" s="819"/>
      <c r="H56" s="819"/>
      <c r="I56" s="819"/>
    </row>
    <row r="57" spans="2:24" s="818" customFormat="1" ht="15.75" customHeight="1" thickBot="1"/>
    <row r="58" spans="2:24" s="818" customFormat="1" ht="15.75" customHeight="1">
      <c r="B58" s="1564" t="s">
        <v>515</v>
      </c>
      <c r="C58" s="1565"/>
      <c r="D58" s="1565"/>
      <c r="E58" s="1565"/>
      <c r="F58" s="1565"/>
      <c r="G58" s="1565"/>
      <c r="H58" s="1566"/>
      <c r="I58" s="882"/>
      <c r="J58" s="1567" t="s">
        <v>516</v>
      </c>
      <c r="K58" s="1568"/>
      <c r="L58" s="1568"/>
      <c r="M58" s="1568"/>
      <c r="N58" s="1568"/>
      <c r="O58" s="1568"/>
      <c r="P58" s="1569"/>
      <c r="R58" s="1564" t="s">
        <v>212</v>
      </c>
      <c r="S58" s="1570"/>
      <c r="T58" s="1570"/>
      <c r="U58" s="1570"/>
      <c r="V58" s="1570"/>
      <c r="W58" s="1570"/>
      <c r="X58" s="1571"/>
    </row>
    <row r="59" spans="2:24" s="818" customFormat="1" ht="15.75" customHeight="1">
      <c r="B59" s="1572"/>
      <c r="C59" s="883" t="s">
        <v>517</v>
      </c>
      <c r="D59" s="1574" t="s">
        <v>518</v>
      </c>
      <c r="E59" s="1575"/>
      <c r="F59" s="1575"/>
      <c r="G59" s="1575"/>
      <c r="H59" s="1576"/>
      <c r="J59" s="884"/>
      <c r="K59" s="883" t="s">
        <v>517</v>
      </c>
      <c r="L59" s="1574" t="s">
        <v>519</v>
      </c>
      <c r="M59" s="1575"/>
      <c r="N59" s="1575"/>
      <c r="O59" s="1575"/>
      <c r="P59" s="1576"/>
      <c r="R59" s="1572"/>
      <c r="S59" s="1577" t="s">
        <v>517</v>
      </c>
      <c r="T59" s="1557" t="s">
        <v>519</v>
      </c>
      <c r="U59" s="1558"/>
      <c r="V59" s="1558"/>
      <c r="W59" s="1558"/>
      <c r="X59" s="1559"/>
    </row>
    <row r="60" spans="2:24" s="818" customFormat="1" ht="48.75" customHeight="1">
      <c r="B60" s="1573"/>
      <c r="C60" s="885"/>
      <c r="D60" s="886" t="s">
        <v>520</v>
      </c>
      <c r="E60" s="886" t="s">
        <v>521</v>
      </c>
      <c r="F60" s="886" t="s">
        <v>522</v>
      </c>
      <c r="G60" s="887" t="s">
        <v>523</v>
      </c>
      <c r="H60" s="888" t="s">
        <v>524</v>
      </c>
      <c r="I60" s="889"/>
      <c r="J60" s="890"/>
      <c r="K60" s="891"/>
      <c r="L60" s="887" t="s">
        <v>520</v>
      </c>
      <c r="M60" s="887" t="s">
        <v>521</v>
      </c>
      <c r="N60" s="887" t="s">
        <v>522</v>
      </c>
      <c r="O60" s="887" t="s">
        <v>523</v>
      </c>
      <c r="P60" s="888" t="s">
        <v>524</v>
      </c>
      <c r="R60" s="1573"/>
      <c r="S60" s="1578"/>
      <c r="T60" s="887" t="s">
        <v>520</v>
      </c>
      <c r="U60" s="887" t="s">
        <v>521</v>
      </c>
      <c r="V60" s="887" t="s">
        <v>522</v>
      </c>
      <c r="W60" s="887" t="s">
        <v>523</v>
      </c>
      <c r="X60" s="888" t="s">
        <v>524</v>
      </c>
    </row>
    <row r="61" spans="2:24" s="818" customFormat="1" ht="15.75" customHeight="1">
      <c r="B61" s="873" t="s">
        <v>438</v>
      </c>
      <c r="C61" s="874">
        <f>SUM(D61:H61)</f>
        <v>0</v>
      </c>
      <c r="D61" s="892"/>
      <c r="E61" s="892"/>
      <c r="F61" s="892"/>
      <c r="G61" s="876"/>
      <c r="H61" s="893"/>
      <c r="I61" s="889"/>
      <c r="J61" s="894" t="s">
        <v>438</v>
      </c>
      <c r="K61" s="895">
        <f>SUM(L61:P61)</f>
        <v>0</v>
      </c>
      <c r="L61" s="896"/>
      <c r="M61" s="896"/>
      <c r="N61" s="896"/>
      <c r="O61" s="897"/>
      <c r="P61" s="898"/>
      <c r="R61" s="894" t="s">
        <v>438</v>
      </c>
      <c r="S61" s="895">
        <f>SUM(T61:X61)</f>
        <v>0</v>
      </c>
      <c r="T61" s="896"/>
      <c r="U61" s="896"/>
      <c r="V61" s="896"/>
      <c r="W61" s="897"/>
      <c r="X61" s="898"/>
    </row>
    <row r="62" spans="2:24" s="818" customFormat="1" ht="15.75" customHeight="1">
      <c r="B62" s="873" t="s">
        <v>245</v>
      </c>
      <c r="C62" s="895">
        <f>SUM(D62:H62)</f>
        <v>0</v>
      </c>
      <c r="D62" s="892"/>
      <c r="E62" s="892"/>
      <c r="F62" s="892"/>
      <c r="G62" s="876"/>
      <c r="H62" s="893"/>
      <c r="I62" s="889"/>
      <c r="J62" s="873" t="s">
        <v>245</v>
      </c>
      <c r="K62" s="895">
        <f>SUM(L62:P62)</f>
        <v>0</v>
      </c>
      <c r="L62" s="892"/>
      <c r="M62" s="892"/>
      <c r="N62" s="892"/>
      <c r="O62" s="876"/>
      <c r="P62" s="893"/>
      <c r="R62" s="873" t="s">
        <v>245</v>
      </c>
      <c r="S62" s="895">
        <f>SUM(T62:X62)</f>
        <v>0</v>
      </c>
      <c r="T62" s="892"/>
      <c r="U62" s="892"/>
      <c r="V62" s="892"/>
      <c r="W62" s="876"/>
      <c r="X62" s="893"/>
    </row>
    <row r="63" spans="2:24" s="818" customFormat="1" ht="15.75" customHeight="1">
      <c r="B63" s="873" t="s">
        <v>427</v>
      </c>
      <c r="C63" s="895">
        <f>SUM(D63:H63)</f>
        <v>0</v>
      </c>
      <c r="D63" s="892"/>
      <c r="E63" s="892"/>
      <c r="F63" s="892"/>
      <c r="G63" s="876"/>
      <c r="H63" s="893"/>
      <c r="I63" s="889"/>
      <c r="J63" s="873" t="s">
        <v>427</v>
      </c>
      <c r="K63" s="895">
        <f>SUM(L63:P63)</f>
        <v>0</v>
      </c>
      <c r="L63" s="892"/>
      <c r="M63" s="892"/>
      <c r="N63" s="892"/>
      <c r="O63" s="876"/>
      <c r="P63" s="893"/>
      <c r="R63" s="873" t="s">
        <v>427</v>
      </c>
      <c r="S63" s="895">
        <f>SUM(T63:X63)</f>
        <v>0</v>
      </c>
      <c r="T63" s="892"/>
      <c r="U63" s="892"/>
      <c r="V63" s="892"/>
      <c r="W63" s="876"/>
      <c r="X63" s="893"/>
    </row>
    <row r="64" spans="2:24" s="818" customFormat="1" ht="15.75" customHeight="1">
      <c r="B64" s="873" t="s">
        <v>506</v>
      </c>
      <c r="C64" s="895">
        <f>SUM(D64:H64)</f>
        <v>0</v>
      </c>
      <c r="D64" s="892"/>
      <c r="E64" s="892"/>
      <c r="F64" s="892"/>
      <c r="G64" s="876"/>
      <c r="H64" s="893"/>
      <c r="I64" s="889"/>
      <c r="J64" s="873" t="s">
        <v>506</v>
      </c>
      <c r="K64" s="895">
        <f>SUM(L64:P64)</f>
        <v>0</v>
      </c>
      <c r="L64" s="892"/>
      <c r="M64" s="892"/>
      <c r="N64" s="892"/>
      <c r="O64" s="876"/>
      <c r="P64" s="893"/>
      <c r="R64" s="873" t="s">
        <v>506</v>
      </c>
      <c r="S64" s="895">
        <f>SUM(T64:X64)</f>
        <v>0</v>
      </c>
      <c r="T64" s="892"/>
      <c r="U64" s="892"/>
      <c r="V64" s="892"/>
      <c r="W64" s="876"/>
      <c r="X64" s="893"/>
    </row>
    <row r="65" spans="2:24" s="818" customFormat="1" ht="15.75" customHeight="1" thickBot="1">
      <c r="B65" s="878" t="s">
        <v>220</v>
      </c>
      <c r="C65" s="879">
        <f t="shared" ref="C65:H65" si="5">SUM(C61:C64)</f>
        <v>0</v>
      </c>
      <c r="D65" s="880">
        <f t="shared" si="5"/>
        <v>0</v>
      </c>
      <c r="E65" s="880">
        <f t="shared" si="5"/>
        <v>0</v>
      </c>
      <c r="F65" s="880">
        <f t="shared" si="5"/>
        <v>0</v>
      </c>
      <c r="G65" s="880">
        <f t="shared" si="5"/>
        <v>0</v>
      </c>
      <c r="H65" s="881">
        <f t="shared" si="5"/>
        <v>0</v>
      </c>
      <c r="I65" s="889"/>
      <c r="J65" s="878" t="s">
        <v>220</v>
      </c>
      <c r="K65" s="879">
        <f t="shared" ref="K65:P65" si="6">SUM(K61:K64)</f>
        <v>0</v>
      </c>
      <c r="L65" s="880">
        <f t="shared" si="6"/>
        <v>0</v>
      </c>
      <c r="M65" s="880">
        <f t="shared" si="6"/>
        <v>0</v>
      </c>
      <c r="N65" s="880">
        <f t="shared" si="6"/>
        <v>0</v>
      </c>
      <c r="O65" s="880">
        <f t="shared" si="6"/>
        <v>0</v>
      </c>
      <c r="P65" s="881">
        <f t="shared" si="6"/>
        <v>0</v>
      </c>
      <c r="R65" s="878" t="s">
        <v>220</v>
      </c>
      <c r="S65" s="879">
        <f t="shared" ref="S65:X65" si="7">SUM(S61:S64)</f>
        <v>0</v>
      </c>
      <c r="T65" s="880">
        <f t="shared" si="7"/>
        <v>0</v>
      </c>
      <c r="U65" s="880">
        <f t="shared" si="7"/>
        <v>0</v>
      </c>
      <c r="V65" s="880">
        <f t="shared" si="7"/>
        <v>0</v>
      </c>
      <c r="W65" s="880">
        <f t="shared" si="7"/>
        <v>0</v>
      </c>
      <c r="X65" s="881">
        <f t="shared" si="7"/>
        <v>0</v>
      </c>
    </row>
    <row r="66" spans="2:24" s="818" customFormat="1" ht="15.75" customHeight="1" thickBot="1">
      <c r="B66" s="899"/>
      <c r="C66" s="900"/>
      <c r="D66" s="900"/>
      <c r="E66" s="900"/>
      <c r="F66" s="900"/>
      <c r="G66" s="900"/>
      <c r="H66" s="900"/>
      <c r="I66" s="889"/>
      <c r="J66" s="899"/>
      <c r="K66" s="900"/>
      <c r="L66" s="900"/>
      <c r="M66" s="900"/>
      <c r="N66" s="900"/>
      <c r="O66" s="900"/>
      <c r="P66" s="900"/>
      <c r="R66" s="899"/>
      <c r="S66" s="900"/>
      <c r="T66" s="900"/>
      <c r="U66" s="900"/>
      <c r="V66" s="900"/>
      <c r="W66" s="900"/>
      <c r="X66" s="900"/>
    </row>
    <row r="67" spans="2:24" s="818" customFormat="1" ht="15.75" customHeight="1">
      <c r="B67" s="1564" t="s">
        <v>515</v>
      </c>
      <c r="C67" s="1570"/>
      <c r="D67" s="1570"/>
      <c r="E67" s="1570"/>
      <c r="F67" s="1570"/>
      <c r="G67" s="1570"/>
      <c r="H67" s="1571"/>
      <c r="I67" s="882"/>
      <c r="J67" s="1564" t="s">
        <v>516</v>
      </c>
      <c r="K67" s="1570"/>
      <c r="L67" s="1570"/>
      <c r="M67" s="1570"/>
      <c r="N67" s="1570"/>
      <c r="O67" s="1570"/>
      <c r="P67" s="1571"/>
      <c r="R67" s="1564" t="s">
        <v>212</v>
      </c>
      <c r="S67" s="1570"/>
      <c r="T67" s="1570"/>
      <c r="U67" s="1570"/>
      <c r="V67" s="1570"/>
      <c r="W67" s="1570"/>
      <c r="X67" s="1571"/>
    </row>
    <row r="68" spans="2:24" s="818" customFormat="1" ht="15.75" customHeight="1">
      <c r="B68" s="1572"/>
      <c r="C68" s="1579" t="s">
        <v>525</v>
      </c>
      <c r="D68" s="1557" t="s">
        <v>518</v>
      </c>
      <c r="E68" s="1558"/>
      <c r="F68" s="1558"/>
      <c r="G68" s="1558"/>
      <c r="H68" s="1559"/>
      <c r="J68" s="1572"/>
      <c r="K68" s="1577" t="s">
        <v>525</v>
      </c>
      <c r="L68" s="901" t="s">
        <v>519</v>
      </c>
      <c r="M68" s="902"/>
      <c r="N68" s="902"/>
      <c r="O68" s="902"/>
      <c r="P68" s="903"/>
      <c r="R68" s="1572"/>
      <c r="S68" s="1577" t="s">
        <v>525</v>
      </c>
      <c r="T68" s="1557" t="s">
        <v>519</v>
      </c>
      <c r="U68" s="1558"/>
      <c r="V68" s="1558"/>
      <c r="W68" s="1558"/>
      <c r="X68" s="1559"/>
    </row>
    <row r="69" spans="2:24" s="818" customFormat="1" ht="30" customHeight="1">
      <c r="B69" s="1573"/>
      <c r="C69" s="1580"/>
      <c r="D69" s="887" t="s">
        <v>520</v>
      </c>
      <c r="E69" s="887" t="s">
        <v>521</v>
      </c>
      <c r="F69" s="887" t="s">
        <v>522</v>
      </c>
      <c r="G69" s="887" t="s">
        <v>523</v>
      </c>
      <c r="H69" s="904" t="s">
        <v>524</v>
      </c>
      <c r="I69" s="889"/>
      <c r="J69" s="1573"/>
      <c r="K69" s="1578"/>
      <c r="L69" s="905" t="s">
        <v>520</v>
      </c>
      <c r="M69" s="905" t="s">
        <v>521</v>
      </c>
      <c r="N69" s="905" t="s">
        <v>522</v>
      </c>
      <c r="O69" s="905" t="s">
        <v>523</v>
      </c>
      <c r="P69" s="904" t="s">
        <v>524</v>
      </c>
      <c r="R69" s="1573"/>
      <c r="S69" s="1578"/>
      <c r="T69" s="887" t="s">
        <v>520</v>
      </c>
      <c r="U69" s="887" t="s">
        <v>521</v>
      </c>
      <c r="V69" s="887" t="s">
        <v>522</v>
      </c>
      <c r="W69" s="887" t="s">
        <v>523</v>
      </c>
      <c r="X69" s="904" t="s">
        <v>524</v>
      </c>
    </row>
    <row r="70" spans="2:24" s="818" customFormat="1" ht="15.75" customHeight="1">
      <c r="B70" s="906" t="s">
        <v>438</v>
      </c>
      <c r="C70" s="896"/>
      <c r="D70" s="896"/>
      <c r="E70" s="896"/>
      <c r="F70" s="896"/>
      <c r="G70" s="897"/>
      <c r="H70" s="907"/>
      <c r="I70" s="889"/>
      <c r="J70" s="894" t="s">
        <v>438</v>
      </c>
      <c r="K70" s="908"/>
      <c r="L70" s="896"/>
      <c r="M70" s="896"/>
      <c r="N70" s="896"/>
      <c r="O70" s="897"/>
      <c r="P70" s="909"/>
      <c r="R70" s="894" t="s">
        <v>438</v>
      </c>
      <c r="S70" s="908"/>
      <c r="T70" s="896"/>
      <c r="U70" s="896"/>
      <c r="V70" s="896"/>
      <c r="W70" s="897"/>
      <c r="X70" s="909"/>
    </row>
    <row r="71" spans="2:24" s="818" customFormat="1" ht="15.75" customHeight="1">
      <c r="B71" s="910" t="s">
        <v>245</v>
      </c>
      <c r="C71" s="892"/>
      <c r="D71" s="892"/>
      <c r="E71" s="892"/>
      <c r="F71" s="892"/>
      <c r="G71" s="876"/>
      <c r="H71" s="911"/>
      <c r="I71" s="889"/>
      <c r="J71" s="873" t="s">
        <v>245</v>
      </c>
      <c r="K71" s="912"/>
      <c r="L71" s="892"/>
      <c r="M71" s="892"/>
      <c r="N71" s="892"/>
      <c r="O71" s="876"/>
      <c r="P71" s="913"/>
      <c r="R71" s="873" t="s">
        <v>245</v>
      </c>
      <c r="S71" s="912"/>
      <c r="T71" s="892"/>
      <c r="U71" s="892"/>
      <c r="V71" s="892"/>
      <c r="W71" s="876"/>
      <c r="X71" s="913"/>
    </row>
    <row r="72" spans="2:24" s="818" customFormat="1" ht="15.75" customHeight="1">
      <c r="B72" s="910" t="s">
        <v>427</v>
      </c>
      <c r="C72" s="892"/>
      <c r="D72" s="892"/>
      <c r="E72" s="892"/>
      <c r="F72" s="892"/>
      <c r="G72" s="876"/>
      <c r="H72" s="911"/>
      <c r="I72" s="889"/>
      <c r="J72" s="873" t="s">
        <v>427</v>
      </c>
      <c r="K72" s="912"/>
      <c r="L72" s="892"/>
      <c r="M72" s="892"/>
      <c r="N72" s="892"/>
      <c r="O72" s="876"/>
      <c r="P72" s="913"/>
      <c r="R72" s="873" t="s">
        <v>427</v>
      </c>
      <c r="S72" s="912"/>
      <c r="T72" s="892"/>
      <c r="U72" s="892"/>
      <c r="V72" s="892"/>
      <c r="W72" s="876"/>
      <c r="X72" s="913"/>
    </row>
    <row r="73" spans="2:24" s="818" customFormat="1" ht="15.75" customHeight="1">
      <c r="B73" s="910" t="s">
        <v>506</v>
      </c>
      <c r="C73" s="892"/>
      <c r="D73" s="892"/>
      <c r="E73" s="892"/>
      <c r="F73" s="892"/>
      <c r="G73" s="876"/>
      <c r="H73" s="911"/>
      <c r="I73" s="889"/>
      <c r="J73" s="873" t="s">
        <v>506</v>
      </c>
      <c r="K73" s="912"/>
      <c r="L73" s="892"/>
      <c r="M73" s="892"/>
      <c r="N73" s="892"/>
      <c r="O73" s="876"/>
      <c r="P73" s="913"/>
      <c r="R73" s="873" t="s">
        <v>506</v>
      </c>
      <c r="S73" s="912"/>
      <c r="T73" s="892"/>
      <c r="U73" s="892"/>
      <c r="V73" s="892"/>
      <c r="W73" s="876"/>
      <c r="X73" s="913"/>
    </row>
    <row r="74" spans="2:24" s="818" customFormat="1" ht="15.75" customHeight="1" thickBot="1">
      <c r="B74" s="914" t="s">
        <v>220</v>
      </c>
      <c r="C74" s="915">
        <f t="shared" ref="C74:H74" si="8">SUM(C70:C73)</f>
        <v>0</v>
      </c>
      <c r="D74" s="880">
        <f t="shared" si="8"/>
        <v>0</v>
      </c>
      <c r="E74" s="880">
        <f t="shared" si="8"/>
        <v>0</v>
      </c>
      <c r="F74" s="880">
        <f t="shared" si="8"/>
        <v>0</v>
      </c>
      <c r="G74" s="880">
        <f t="shared" si="8"/>
        <v>0</v>
      </c>
      <c r="H74" s="916">
        <f t="shared" si="8"/>
        <v>0</v>
      </c>
      <c r="I74" s="889"/>
      <c r="J74" s="878" t="s">
        <v>220</v>
      </c>
      <c r="K74" s="879">
        <f t="shared" ref="K74:P74" si="9">SUM(K70:K73)</f>
        <v>0</v>
      </c>
      <c r="L74" s="880">
        <f t="shared" si="9"/>
        <v>0</v>
      </c>
      <c r="M74" s="880">
        <f t="shared" si="9"/>
        <v>0</v>
      </c>
      <c r="N74" s="880">
        <f t="shared" si="9"/>
        <v>0</v>
      </c>
      <c r="O74" s="880">
        <f t="shared" si="9"/>
        <v>0</v>
      </c>
      <c r="P74" s="916">
        <f t="shared" si="9"/>
        <v>0</v>
      </c>
      <c r="R74" s="878" t="s">
        <v>220</v>
      </c>
      <c r="S74" s="879">
        <f t="shared" ref="S74:X74" si="10">SUM(S70:S73)</f>
        <v>0</v>
      </c>
      <c r="T74" s="880">
        <f t="shared" si="10"/>
        <v>0</v>
      </c>
      <c r="U74" s="880">
        <f t="shared" si="10"/>
        <v>0</v>
      </c>
      <c r="V74" s="880">
        <f t="shared" si="10"/>
        <v>0</v>
      </c>
      <c r="W74" s="880">
        <f t="shared" si="10"/>
        <v>0</v>
      </c>
      <c r="X74" s="916">
        <f t="shared" si="10"/>
        <v>0</v>
      </c>
    </row>
    <row r="75" spans="2:24" s="818" customFormat="1" ht="15.75" customHeight="1" thickBot="1">
      <c r="B75" s="899"/>
      <c r="C75" s="900"/>
      <c r="D75" s="900"/>
      <c r="E75" s="900"/>
      <c r="F75" s="900"/>
      <c r="G75" s="900"/>
      <c r="H75" s="900"/>
      <c r="I75" s="889"/>
      <c r="J75" s="917"/>
      <c r="K75" s="918"/>
      <c r="L75" s="918"/>
      <c r="M75" s="918"/>
      <c r="N75" s="918"/>
      <c r="O75" s="918"/>
      <c r="P75" s="918"/>
      <c r="R75" s="899"/>
      <c r="S75" s="900"/>
      <c r="T75" s="900"/>
      <c r="U75" s="900"/>
      <c r="V75" s="900"/>
      <c r="W75" s="900"/>
      <c r="X75" s="900"/>
    </row>
    <row r="76" spans="2:24" s="818" customFormat="1" ht="15.75" customHeight="1">
      <c r="B76" s="1564" t="s">
        <v>515</v>
      </c>
      <c r="C76" s="1570"/>
      <c r="D76" s="1570"/>
      <c r="E76" s="1570"/>
      <c r="F76" s="1570"/>
      <c r="G76" s="1570"/>
      <c r="H76" s="1571"/>
      <c r="J76" s="1564" t="s">
        <v>516</v>
      </c>
      <c r="K76" s="1570"/>
      <c r="L76" s="1570"/>
      <c r="M76" s="1570"/>
      <c r="N76" s="1570"/>
      <c r="O76" s="1570"/>
      <c r="P76" s="1571"/>
      <c r="R76" s="1564" t="s">
        <v>212</v>
      </c>
      <c r="S76" s="1570"/>
      <c r="T76" s="1570"/>
      <c r="U76" s="1570"/>
      <c r="V76" s="1570"/>
      <c r="W76" s="1570"/>
      <c r="X76" s="1571"/>
    </row>
    <row r="77" spans="2:24" s="818" customFormat="1" ht="15.75" customHeight="1">
      <c r="B77" s="1572"/>
      <c r="C77" s="1577" t="s">
        <v>526</v>
      </c>
      <c r="D77" s="1557" t="s">
        <v>527</v>
      </c>
      <c r="E77" s="1558"/>
      <c r="F77" s="1558"/>
      <c r="G77" s="1558"/>
      <c r="H77" s="1559"/>
      <c r="J77" s="1572"/>
      <c r="K77" s="1582" t="s">
        <v>526</v>
      </c>
      <c r="L77" s="901" t="s">
        <v>528</v>
      </c>
      <c r="M77" s="902"/>
      <c r="N77" s="902"/>
      <c r="O77" s="902"/>
      <c r="P77" s="903"/>
      <c r="R77" s="1572"/>
      <c r="S77" s="1582" t="s">
        <v>526</v>
      </c>
      <c r="T77" s="1557" t="s">
        <v>528</v>
      </c>
      <c r="U77" s="1558"/>
      <c r="V77" s="1558"/>
      <c r="W77" s="1558"/>
      <c r="X77" s="1559"/>
    </row>
    <row r="78" spans="2:24" s="818" customFormat="1" ht="30" customHeight="1">
      <c r="B78" s="1573"/>
      <c r="C78" s="1581"/>
      <c r="D78" s="887" t="s">
        <v>520</v>
      </c>
      <c r="E78" s="887" t="s">
        <v>521</v>
      </c>
      <c r="F78" s="887" t="s">
        <v>522</v>
      </c>
      <c r="G78" s="887" t="s">
        <v>523</v>
      </c>
      <c r="H78" s="904" t="s">
        <v>524</v>
      </c>
      <c r="J78" s="1573"/>
      <c r="K78" s="1578"/>
      <c r="L78" s="905" t="s">
        <v>520</v>
      </c>
      <c r="M78" s="905" t="s">
        <v>521</v>
      </c>
      <c r="N78" s="905" t="s">
        <v>522</v>
      </c>
      <c r="O78" s="905" t="s">
        <v>523</v>
      </c>
      <c r="P78" s="904" t="s">
        <v>524</v>
      </c>
      <c r="R78" s="1573"/>
      <c r="S78" s="1578"/>
      <c r="T78" s="887" t="s">
        <v>520</v>
      </c>
      <c r="U78" s="887" t="s">
        <v>521</v>
      </c>
      <c r="V78" s="887" t="s">
        <v>522</v>
      </c>
      <c r="W78" s="887" t="s">
        <v>523</v>
      </c>
      <c r="X78" s="904" t="s">
        <v>524</v>
      </c>
    </row>
    <row r="79" spans="2:24" s="818" customFormat="1" ht="15.75" customHeight="1">
      <c r="B79" s="894" t="s">
        <v>438</v>
      </c>
      <c r="C79" s="919">
        <f>SUM(D33:F33)</f>
        <v>0</v>
      </c>
      <c r="D79" s="920"/>
      <c r="E79" s="920"/>
      <c r="F79" s="920"/>
      <c r="G79" s="840"/>
      <c r="H79" s="921"/>
      <c r="J79" s="894" t="s">
        <v>438</v>
      </c>
      <c r="K79" s="919">
        <f>SUM(G33:H33)</f>
        <v>0</v>
      </c>
      <c r="L79" s="920"/>
      <c r="M79" s="920"/>
      <c r="N79" s="920"/>
      <c r="O79" s="922"/>
      <c r="P79" s="923"/>
      <c r="R79" s="894" t="s">
        <v>438</v>
      </c>
      <c r="S79" s="919">
        <f>SUM(I33:M33)</f>
        <v>0</v>
      </c>
      <c r="T79" s="920"/>
      <c r="U79" s="920"/>
      <c r="V79" s="920"/>
      <c r="W79" s="922"/>
      <c r="X79" s="923"/>
    </row>
    <row r="80" spans="2:24" s="818" customFormat="1" ht="15.75" customHeight="1">
      <c r="B80" s="873" t="s">
        <v>245</v>
      </c>
      <c r="C80" s="919">
        <f>SUM(D34:F34)</f>
        <v>0</v>
      </c>
      <c r="D80" s="837"/>
      <c r="E80" s="837"/>
      <c r="F80" s="837"/>
      <c r="G80" s="840"/>
      <c r="H80" s="921"/>
      <c r="J80" s="873" t="s">
        <v>245</v>
      </c>
      <c r="K80" s="919">
        <f>SUM(G34:H34)</f>
        <v>0</v>
      </c>
      <c r="L80" s="837"/>
      <c r="M80" s="837"/>
      <c r="N80" s="837"/>
      <c r="O80" s="840"/>
      <c r="P80" s="921"/>
      <c r="R80" s="873" t="s">
        <v>245</v>
      </c>
      <c r="S80" s="919">
        <f>SUM(I34:M34)</f>
        <v>0</v>
      </c>
      <c r="T80" s="837"/>
      <c r="U80" s="837"/>
      <c r="V80" s="837"/>
      <c r="W80" s="840"/>
      <c r="X80" s="921"/>
    </row>
    <row r="81" spans="2:24" s="818" customFormat="1" ht="15.75" customHeight="1">
      <c r="B81" s="873" t="s">
        <v>427</v>
      </c>
      <c r="C81" s="919">
        <f>SUM(D35:F35)</f>
        <v>0</v>
      </c>
      <c r="D81" s="837"/>
      <c r="E81" s="837"/>
      <c r="F81" s="837"/>
      <c r="G81" s="840"/>
      <c r="H81" s="921"/>
      <c r="J81" s="873" t="s">
        <v>427</v>
      </c>
      <c r="K81" s="919">
        <f>SUM(G35:H35)</f>
        <v>0</v>
      </c>
      <c r="L81" s="837"/>
      <c r="M81" s="837"/>
      <c r="N81" s="837"/>
      <c r="O81" s="840"/>
      <c r="P81" s="921"/>
      <c r="R81" s="873" t="s">
        <v>427</v>
      </c>
      <c r="S81" s="919">
        <f>SUM(I35:M35)</f>
        <v>0</v>
      </c>
      <c r="T81" s="837"/>
      <c r="U81" s="837"/>
      <c r="V81" s="837"/>
      <c r="W81" s="840"/>
      <c r="X81" s="921"/>
    </row>
    <row r="82" spans="2:24" s="818" customFormat="1" ht="15.75" customHeight="1">
      <c r="B82" s="873" t="s">
        <v>506</v>
      </c>
      <c r="C82" s="919">
        <f>SUM(D36:F36)</f>
        <v>0</v>
      </c>
      <c r="D82" s="837"/>
      <c r="E82" s="837"/>
      <c r="F82" s="837"/>
      <c r="G82" s="840"/>
      <c r="H82" s="921"/>
      <c r="J82" s="873" t="s">
        <v>506</v>
      </c>
      <c r="K82" s="919">
        <f>SUM(G36:H36)</f>
        <v>0</v>
      </c>
      <c r="L82" s="837"/>
      <c r="M82" s="837"/>
      <c r="N82" s="837"/>
      <c r="O82" s="840"/>
      <c r="P82" s="921"/>
      <c r="R82" s="873" t="s">
        <v>506</v>
      </c>
      <c r="S82" s="919">
        <f>SUM(I36:M36)</f>
        <v>0</v>
      </c>
      <c r="T82" s="837"/>
      <c r="U82" s="837"/>
      <c r="V82" s="837"/>
      <c r="W82" s="840"/>
      <c r="X82" s="921"/>
    </row>
    <row r="83" spans="2:24" s="818" customFormat="1" ht="15.75" customHeight="1" thickBot="1">
      <c r="B83" s="878" t="s">
        <v>220</v>
      </c>
      <c r="C83" s="924">
        <f t="shared" ref="C83:H83" si="11">SUM(C79:C82)</f>
        <v>0</v>
      </c>
      <c r="D83" s="925">
        <f t="shared" si="11"/>
        <v>0</v>
      </c>
      <c r="E83" s="925">
        <f t="shared" si="11"/>
        <v>0</v>
      </c>
      <c r="F83" s="925">
        <f t="shared" si="11"/>
        <v>0</v>
      </c>
      <c r="G83" s="925">
        <f t="shared" si="11"/>
        <v>0</v>
      </c>
      <c r="H83" s="916">
        <f t="shared" si="11"/>
        <v>0</v>
      </c>
      <c r="J83" s="878" t="s">
        <v>220</v>
      </c>
      <c r="K83" s="924">
        <f t="shared" ref="K83:P83" si="12">SUM(K79:K82)</f>
        <v>0</v>
      </c>
      <c r="L83" s="925">
        <f t="shared" si="12"/>
        <v>0</v>
      </c>
      <c r="M83" s="925">
        <f t="shared" si="12"/>
        <v>0</v>
      </c>
      <c r="N83" s="925">
        <f t="shared" si="12"/>
        <v>0</v>
      </c>
      <c r="O83" s="925">
        <f t="shared" si="12"/>
        <v>0</v>
      </c>
      <c r="P83" s="916">
        <f t="shared" si="12"/>
        <v>0</v>
      </c>
      <c r="R83" s="878" t="s">
        <v>220</v>
      </c>
      <c r="S83" s="924">
        <f t="shared" ref="S83:X83" si="13">SUM(S79:S82)</f>
        <v>0</v>
      </c>
      <c r="T83" s="925">
        <f t="shared" si="13"/>
        <v>0</v>
      </c>
      <c r="U83" s="925">
        <f t="shared" si="13"/>
        <v>0</v>
      </c>
      <c r="V83" s="925">
        <f t="shared" si="13"/>
        <v>0</v>
      </c>
      <c r="W83" s="925">
        <f t="shared" si="13"/>
        <v>0</v>
      </c>
      <c r="X83" s="916">
        <f t="shared" si="13"/>
        <v>0</v>
      </c>
    </row>
    <row r="84" spans="2:24" s="818" customFormat="1" ht="15.75" customHeight="1" thickBot="1">
      <c r="J84" s="926"/>
      <c r="K84" s="926"/>
      <c r="L84" s="926"/>
      <c r="M84" s="926"/>
      <c r="N84" s="926"/>
      <c r="O84" s="926"/>
      <c r="P84" s="926"/>
    </row>
    <row r="85" spans="2:24" s="818" customFormat="1" ht="15.75" customHeight="1">
      <c r="B85" s="1564" t="s">
        <v>515</v>
      </c>
      <c r="C85" s="1570"/>
      <c r="D85" s="1570"/>
      <c r="E85" s="1570"/>
      <c r="F85" s="1570"/>
      <c r="G85" s="1570"/>
      <c r="H85" s="1571"/>
      <c r="J85" s="1564" t="s">
        <v>516</v>
      </c>
      <c r="K85" s="1570"/>
      <c r="L85" s="1570"/>
      <c r="M85" s="1570"/>
      <c r="N85" s="1570"/>
      <c r="O85" s="1570"/>
      <c r="P85" s="1571"/>
      <c r="R85" s="1564" t="s">
        <v>212</v>
      </c>
      <c r="S85" s="1570"/>
      <c r="T85" s="1570"/>
      <c r="U85" s="1570"/>
      <c r="V85" s="1570"/>
      <c r="W85" s="1570"/>
      <c r="X85" s="1571"/>
    </row>
    <row r="86" spans="2:24" s="818" customFormat="1" ht="15.75" customHeight="1">
      <c r="B86" s="1572"/>
      <c r="C86" s="1582" t="s">
        <v>529</v>
      </c>
      <c r="D86" s="1557" t="s">
        <v>530</v>
      </c>
      <c r="E86" s="1558"/>
      <c r="F86" s="1558"/>
      <c r="G86" s="1558"/>
      <c r="H86" s="1559"/>
      <c r="J86" s="1572"/>
      <c r="K86" s="1582" t="s">
        <v>529</v>
      </c>
      <c r="L86" s="901" t="s">
        <v>531</v>
      </c>
      <c r="M86" s="902"/>
      <c r="N86" s="902"/>
      <c r="O86" s="902"/>
      <c r="P86" s="903"/>
      <c r="R86" s="1572"/>
      <c r="S86" s="1582" t="s">
        <v>529</v>
      </c>
      <c r="T86" s="1557" t="s">
        <v>531</v>
      </c>
      <c r="U86" s="1558"/>
      <c r="V86" s="1558"/>
      <c r="W86" s="1558"/>
      <c r="X86" s="1559"/>
    </row>
    <row r="87" spans="2:24" s="818" customFormat="1" ht="30" customHeight="1" thickBot="1">
      <c r="B87" s="1573"/>
      <c r="C87" s="1578"/>
      <c r="D87" s="887" t="s">
        <v>520</v>
      </c>
      <c r="E87" s="887" t="s">
        <v>521</v>
      </c>
      <c r="F87" s="887" t="s">
        <v>522</v>
      </c>
      <c r="G87" s="887" t="s">
        <v>523</v>
      </c>
      <c r="H87" s="927" t="s">
        <v>524</v>
      </c>
      <c r="J87" s="1573"/>
      <c r="K87" s="1578"/>
      <c r="L87" s="905" t="s">
        <v>520</v>
      </c>
      <c r="M87" s="905" t="s">
        <v>521</v>
      </c>
      <c r="N87" s="905" t="s">
        <v>522</v>
      </c>
      <c r="O87" s="905" t="s">
        <v>523</v>
      </c>
      <c r="P87" s="904"/>
      <c r="R87" s="1573"/>
      <c r="S87" s="1578"/>
      <c r="T87" s="887" t="s">
        <v>520</v>
      </c>
      <c r="U87" s="887" t="s">
        <v>521</v>
      </c>
      <c r="V87" s="887" t="s">
        <v>522</v>
      </c>
      <c r="W87" s="887" t="s">
        <v>523</v>
      </c>
      <c r="X87" s="904"/>
    </row>
    <row r="88" spans="2:24" s="818" customFormat="1" ht="15.75" customHeight="1">
      <c r="B88" s="894" t="s">
        <v>438</v>
      </c>
      <c r="C88" s="919">
        <f t="shared" ref="C88:G91" si="14">IF(C70&gt;0,C79*1000/C70,0)</f>
        <v>0</v>
      </c>
      <c r="D88" s="928">
        <f t="shared" si="14"/>
        <v>0</v>
      </c>
      <c r="E88" s="928">
        <f t="shared" si="14"/>
        <v>0</v>
      </c>
      <c r="F88" s="928">
        <f t="shared" si="14"/>
        <v>0</v>
      </c>
      <c r="G88" s="928">
        <f t="shared" si="14"/>
        <v>0</v>
      </c>
      <c r="H88" s="929"/>
      <c r="J88" s="894" t="s">
        <v>438</v>
      </c>
      <c r="K88" s="919">
        <f t="shared" ref="K88:O91" si="15">IF(K70&gt;0,K79*1000/K70,0)</f>
        <v>0</v>
      </c>
      <c r="L88" s="928">
        <f t="shared" si="15"/>
        <v>0</v>
      </c>
      <c r="M88" s="928">
        <f t="shared" si="15"/>
        <v>0</v>
      </c>
      <c r="N88" s="928">
        <f t="shared" si="15"/>
        <v>0</v>
      </c>
      <c r="O88" s="928">
        <f t="shared" si="15"/>
        <v>0</v>
      </c>
      <c r="P88" s="923"/>
      <c r="R88" s="894" t="s">
        <v>438</v>
      </c>
      <c r="S88" s="919">
        <f t="shared" ref="S88:W91" si="16">IF(S70&gt;0,S79*1000/S70,0)</f>
        <v>0</v>
      </c>
      <c r="T88" s="928">
        <f t="shared" si="16"/>
        <v>0</v>
      </c>
      <c r="U88" s="928">
        <f t="shared" si="16"/>
        <v>0</v>
      </c>
      <c r="V88" s="928">
        <f t="shared" si="16"/>
        <v>0</v>
      </c>
      <c r="W88" s="928">
        <f t="shared" si="16"/>
        <v>0</v>
      </c>
      <c r="X88" s="923"/>
    </row>
    <row r="89" spans="2:24" s="818" customFormat="1" ht="15.75" customHeight="1">
      <c r="B89" s="873" t="s">
        <v>245</v>
      </c>
      <c r="C89" s="930">
        <f t="shared" si="14"/>
        <v>0</v>
      </c>
      <c r="D89" s="931">
        <f t="shared" si="14"/>
        <v>0</v>
      </c>
      <c r="E89" s="931">
        <f t="shared" si="14"/>
        <v>0</v>
      </c>
      <c r="F89" s="931">
        <f t="shared" si="14"/>
        <v>0</v>
      </c>
      <c r="G89" s="931">
        <f t="shared" si="14"/>
        <v>0</v>
      </c>
      <c r="H89" s="921"/>
      <c r="J89" s="873" t="s">
        <v>245</v>
      </c>
      <c r="K89" s="930">
        <f t="shared" si="15"/>
        <v>0</v>
      </c>
      <c r="L89" s="931">
        <f t="shared" si="15"/>
        <v>0</v>
      </c>
      <c r="M89" s="931">
        <f t="shared" si="15"/>
        <v>0</v>
      </c>
      <c r="N89" s="931">
        <f t="shared" si="15"/>
        <v>0</v>
      </c>
      <c r="O89" s="931">
        <f t="shared" si="15"/>
        <v>0</v>
      </c>
      <c r="P89" s="921"/>
      <c r="R89" s="873" t="s">
        <v>245</v>
      </c>
      <c r="S89" s="930">
        <f t="shared" si="16"/>
        <v>0</v>
      </c>
      <c r="T89" s="931">
        <f t="shared" si="16"/>
        <v>0</v>
      </c>
      <c r="U89" s="931">
        <f t="shared" si="16"/>
        <v>0</v>
      </c>
      <c r="V89" s="931">
        <f t="shared" si="16"/>
        <v>0</v>
      </c>
      <c r="W89" s="931">
        <f t="shared" si="16"/>
        <v>0</v>
      </c>
      <c r="X89" s="921"/>
    </row>
    <row r="90" spans="2:24" s="818" customFormat="1" ht="15.75" customHeight="1">
      <c r="B90" s="873" t="s">
        <v>427</v>
      </c>
      <c r="C90" s="930">
        <f t="shared" si="14"/>
        <v>0</v>
      </c>
      <c r="D90" s="931">
        <f t="shared" si="14"/>
        <v>0</v>
      </c>
      <c r="E90" s="931">
        <f t="shared" si="14"/>
        <v>0</v>
      </c>
      <c r="F90" s="931">
        <f t="shared" si="14"/>
        <v>0</v>
      </c>
      <c r="G90" s="931">
        <f t="shared" si="14"/>
        <v>0</v>
      </c>
      <c r="H90" s="921"/>
      <c r="J90" s="873" t="s">
        <v>427</v>
      </c>
      <c r="K90" s="930">
        <f t="shared" si="15"/>
        <v>0</v>
      </c>
      <c r="L90" s="931">
        <f t="shared" si="15"/>
        <v>0</v>
      </c>
      <c r="M90" s="931">
        <f t="shared" si="15"/>
        <v>0</v>
      </c>
      <c r="N90" s="931">
        <f t="shared" si="15"/>
        <v>0</v>
      </c>
      <c r="O90" s="931">
        <f t="shared" si="15"/>
        <v>0</v>
      </c>
      <c r="P90" s="921"/>
      <c r="R90" s="873" t="s">
        <v>427</v>
      </c>
      <c r="S90" s="930">
        <f t="shared" si="16"/>
        <v>0</v>
      </c>
      <c r="T90" s="931">
        <f t="shared" si="16"/>
        <v>0</v>
      </c>
      <c r="U90" s="931">
        <f t="shared" si="16"/>
        <v>0</v>
      </c>
      <c r="V90" s="931">
        <f t="shared" si="16"/>
        <v>0</v>
      </c>
      <c r="W90" s="931">
        <f t="shared" si="16"/>
        <v>0</v>
      </c>
      <c r="X90" s="921"/>
    </row>
    <row r="91" spans="2:24" s="818" customFormat="1" ht="15.75" customHeight="1" thickBot="1">
      <c r="B91" s="932" t="s">
        <v>506</v>
      </c>
      <c r="C91" s="933">
        <f t="shared" si="14"/>
        <v>0</v>
      </c>
      <c r="D91" s="934">
        <f t="shared" si="14"/>
        <v>0</v>
      </c>
      <c r="E91" s="934">
        <f t="shared" si="14"/>
        <v>0</v>
      </c>
      <c r="F91" s="934">
        <f t="shared" si="14"/>
        <v>0</v>
      </c>
      <c r="G91" s="934">
        <f t="shared" si="14"/>
        <v>0</v>
      </c>
      <c r="H91" s="935"/>
      <c r="J91" s="932" t="s">
        <v>506</v>
      </c>
      <c r="K91" s="933">
        <f t="shared" si="15"/>
        <v>0</v>
      </c>
      <c r="L91" s="934">
        <f t="shared" si="15"/>
        <v>0</v>
      </c>
      <c r="M91" s="934">
        <f t="shared" si="15"/>
        <v>0</v>
      </c>
      <c r="N91" s="934">
        <f t="shared" si="15"/>
        <v>0</v>
      </c>
      <c r="O91" s="934">
        <f t="shared" si="15"/>
        <v>0</v>
      </c>
      <c r="P91" s="935"/>
      <c r="R91" s="932" t="s">
        <v>506</v>
      </c>
      <c r="S91" s="933">
        <f t="shared" si="16"/>
        <v>0</v>
      </c>
      <c r="T91" s="934">
        <f t="shared" si="16"/>
        <v>0</v>
      </c>
      <c r="U91" s="934">
        <f t="shared" si="16"/>
        <v>0</v>
      </c>
      <c r="V91" s="934">
        <f t="shared" si="16"/>
        <v>0</v>
      </c>
      <c r="W91" s="934">
        <f t="shared" si="16"/>
        <v>0</v>
      </c>
      <c r="X91" s="935"/>
    </row>
    <row r="92" spans="2:24" s="818" customFormat="1" ht="15.75" customHeight="1"/>
    <row r="93" spans="2:24" s="818" customFormat="1" ht="15.75" customHeight="1"/>
    <row r="94" spans="2:24" s="818" customFormat="1" ht="15.75" customHeight="1">
      <c r="B94" s="819" t="s">
        <v>532</v>
      </c>
    </row>
    <row r="95" spans="2:24" s="818" customFormat="1" ht="15.75" customHeight="1" thickBot="1"/>
    <row r="96" spans="2:24" s="818" customFormat="1" ht="42" customHeight="1">
      <c r="B96" s="936"/>
      <c r="C96" s="870" t="s">
        <v>509</v>
      </c>
      <c r="D96" s="871" t="s">
        <v>510</v>
      </c>
      <c r="E96" s="871" t="s">
        <v>511</v>
      </c>
      <c r="F96" s="871" t="s">
        <v>512</v>
      </c>
      <c r="G96" s="871" t="s">
        <v>513</v>
      </c>
      <c r="H96" s="872" t="s">
        <v>514</v>
      </c>
      <c r="I96" s="819"/>
    </row>
    <row r="97" spans="2:24" s="818" customFormat="1" ht="15.75" customHeight="1">
      <c r="B97" s="894" t="s">
        <v>438</v>
      </c>
      <c r="C97" s="895">
        <f>D97+E97</f>
        <v>0</v>
      </c>
      <c r="D97" s="937">
        <f>C107</f>
        <v>0</v>
      </c>
      <c r="E97" s="897"/>
      <c r="F97" s="937">
        <f>K107</f>
        <v>0</v>
      </c>
      <c r="G97" s="937">
        <f>S107</f>
        <v>0</v>
      </c>
      <c r="H97" s="938">
        <f>E97-SUM(F97:G97)</f>
        <v>0</v>
      </c>
      <c r="I97" s="819"/>
    </row>
    <row r="98" spans="2:24" s="818" customFormat="1" ht="15.75" customHeight="1">
      <c r="B98" s="873" t="s">
        <v>245</v>
      </c>
      <c r="C98" s="895">
        <f>D98+E98</f>
        <v>0</v>
      </c>
      <c r="D98" s="937">
        <f>C108</f>
        <v>0</v>
      </c>
      <c r="E98" s="897"/>
      <c r="F98" s="937">
        <f>K108</f>
        <v>0</v>
      </c>
      <c r="G98" s="937">
        <f>S108</f>
        <v>0</v>
      </c>
      <c r="H98" s="938">
        <f>E98-SUM(F98:G98)</f>
        <v>0</v>
      </c>
      <c r="I98" s="819"/>
    </row>
    <row r="99" spans="2:24" s="818" customFormat="1" ht="15.75" customHeight="1">
      <c r="B99" s="873" t="s">
        <v>427</v>
      </c>
      <c r="C99" s="895">
        <f>D99+E99</f>
        <v>0</v>
      </c>
      <c r="D99" s="937">
        <f>C109</f>
        <v>0</v>
      </c>
      <c r="E99" s="897"/>
      <c r="F99" s="937">
        <f>K109</f>
        <v>0</v>
      </c>
      <c r="G99" s="937">
        <f>S109</f>
        <v>0</v>
      </c>
      <c r="H99" s="938">
        <f>E99-SUM(F99:G99)</f>
        <v>0</v>
      </c>
      <c r="I99" s="819"/>
    </row>
    <row r="100" spans="2:24" s="818" customFormat="1" ht="15.75" customHeight="1">
      <c r="B100" s="873" t="s">
        <v>506</v>
      </c>
      <c r="C100" s="895">
        <f>D100+E100</f>
        <v>0</v>
      </c>
      <c r="D100" s="937">
        <f>C110</f>
        <v>0</v>
      </c>
      <c r="E100" s="897"/>
      <c r="F100" s="937">
        <f>K110</f>
        <v>0</v>
      </c>
      <c r="G100" s="937">
        <f>S110</f>
        <v>0</v>
      </c>
      <c r="H100" s="938">
        <f>E100-SUM(F100:G100)</f>
        <v>0</v>
      </c>
      <c r="I100" s="819"/>
    </row>
    <row r="101" spans="2:24" s="818" customFormat="1" ht="15.75" customHeight="1" thickBot="1">
      <c r="B101" s="878" t="s">
        <v>220</v>
      </c>
      <c r="C101" s="879">
        <f t="shared" ref="C101:H101" si="17">SUM(C97:C100)</f>
        <v>0</v>
      </c>
      <c r="D101" s="880">
        <f t="shared" si="17"/>
        <v>0</v>
      </c>
      <c r="E101" s="880">
        <f t="shared" si="17"/>
        <v>0</v>
      </c>
      <c r="F101" s="880">
        <f t="shared" si="17"/>
        <v>0</v>
      </c>
      <c r="G101" s="880">
        <f t="shared" si="17"/>
        <v>0</v>
      </c>
      <c r="H101" s="881">
        <f t="shared" si="17"/>
        <v>0</v>
      </c>
      <c r="I101" s="819"/>
    </row>
    <row r="102" spans="2:24" s="818" customFormat="1" ht="15.75" customHeight="1">
      <c r="B102" s="819"/>
      <c r="C102" s="819"/>
      <c r="D102" s="819"/>
      <c r="E102" s="819"/>
      <c r="F102" s="819"/>
      <c r="G102" s="819"/>
      <c r="H102" s="819"/>
      <c r="I102" s="819"/>
    </row>
    <row r="103" spans="2:24" s="818" customFormat="1" ht="15.75" customHeight="1" thickBot="1"/>
    <row r="104" spans="2:24" s="818" customFormat="1" ht="15.75" customHeight="1">
      <c r="B104" s="1564" t="s">
        <v>515</v>
      </c>
      <c r="C104" s="1570"/>
      <c r="D104" s="1570"/>
      <c r="E104" s="1570"/>
      <c r="F104" s="1570"/>
      <c r="G104" s="1570"/>
      <c r="H104" s="1571"/>
      <c r="I104" s="882"/>
      <c r="J104" s="1564" t="s">
        <v>516</v>
      </c>
      <c r="K104" s="1570"/>
      <c r="L104" s="1570"/>
      <c r="M104" s="1570"/>
      <c r="N104" s="1570"/>
      <c r="O104" s="1570"/>
      <c r="P104" s="1571"/>
      <c r="R104" s="1564" t="s">
        <v>212</v>
      </c>
      <c r="S104" s="1570"/>
      <c r="T104" s="1570"/>
      <c r="U104" s="1570"/>
      <c r="V104" s="1570"/>
      <c r="W104" s="1570"/>
      <c r="X104" s="1571"/>
    </row>
    <row r="105" spans="2:24" s="818" customFormat="1" ht="15.75" customHeight="1">
      <c r="B105" s="1572"/>
      <c r="C105" s="1577" t="s">
        <v>517</v>
      </c>
      <c r="D105" s="1584" t="s">
        <v>518</v>
      </c>
      <c r="E105" s="1585"/>
      <c r="F105" s="1585"/>
      <c r="G105" s="1585"/>
      <c r="H105" s="1586"/>
      <c r="J105" s="1572"/>
      <c r="K105" s="1587" t="s">
        <v>517</v>
      </c>
      <c r="L105" s="939" t="s">
        <v>519</v>
      </c>
      <c r="M105" s="940"/>
      <c r="N105" s="940"/>
      <c r="O105" s="940"/>
      <c r="P105" s="941"/>
      <c r="R105" s="1572"/>
      <c r="S105" s="1577" t="s">
        <v>517</v>
      </c>
      <c r="T105" s="1557" t="s">
        <v>519</v>
      </c>
      <c r="U105" s="1558"/>
      <c r="V105" s="1558"/>
      <c r="W105" s="1558"/>
      <c r="X105" s="1559"/>
    </row>
    <row r="106" spans="2:24" s="818" customFormat="1" ht="39.75" customHeight="1">
      <c r="B106" s="1573"/>
      <c r="C106" s="1578"/>
      <c r="D106" s="887" t="s">
        <v>533</v>
      </c>
      <c r="E106" s="887" t="s">
        <v>522</v>
      </c>
      <c r="F106" s="887" t="s">
        <v>435</v>
      </c>
      <c r="G106" s="887" t="s">
        <v>534</v>
      </c>
      <c r="H106" s="888" t="s">
        <v>524</v>
      </c>
      <c r="I106" s="889"/>
      <c r="J106" s="1573"/>
      <c r="K106" s="1588"/>
      <c r="L106" s="887" t="s">
        <v>533</v>
      </c>
      <c r="M106" s="887" t="s">
        <v>522</v>
      </c>
      <c r="N106" s="887" t="s">
        <v>435</v>
      </c>
      <c r="O106" s="887" t="s">
        <v>534</v>
      </c>
      <c r="P106" s="888" t="s">
        <v>524</v>
      </c>
      <c r="R106" s="1573"/>
      <c r="S106" s="1583"/>
      <c r="T106" s="887" t="s">
        <v>533</v>
      </c>
      <c r="U106" s="887" t="s">
        <v>522</v>
      </c>
      <c r="V106" s="887" t="s">
        <v>435</v>
      </c>
      <c r="W106" s="887" t="s">
        <v>534</v>
      </c>
      <c r="X106" s="888" t="s">
        <v>524</v>
      </c>
    </row>
    <row r="107" spans="2:24" s="818" customFormat="1" ht="15.75" customHeight="1">
      <c r="B107" s="894" t="s">
        <v>438</v>
      </c>
      <c r="C107" s="895">
        <f>SUM(D107:H107)</f>
        <v>0</v>
      </c>
      <c r="D107" s="896"/>
      <c r="E107" s="896"/>
      <c r="F107" s="896"/>
      <c r="G107" s="897"/>
      <c r="H107" s="898"/>
      <c r="I107" s="889"/>
      <c r="J107" s="894" t="s">
        <v>438</v>
      </c>
      <c r="K107" s="895">
        <f>SUM(L107:P107)</f>
        <v>0</v>
      </c>
      <c r="L107" s="896"/>
      <c r="M107" s="896"/>
      <c r="N107" s="896"/>
      <c r="O107" s="897"/>
      <c r="P107" s="898"/>
      <c r="R107" s="894" t="s">
        <v>438</v>
      </c>
      <c r="S107" s="895">
        <f>SUM(T107:X107)</f>
        <v>0</v>
      </c>
      <c r="T107" s="896"/>
      <c r="U107" s="896"/>
      <c r="V107" s="896"/>
      <c r="W107" s="897"/>
      <c r="X107" s="898"/>
    </row>
    <row r="108" spans="2:24" s="818" customFormat="1" ht="15.75" customHeight="1">
      <c r="B108" s="873" t="s">
        <v>245</v>
      </c>
      <c r="C108" s="895">
        <f>SUM(D108:H108)</f>
        <v>0</v>
      </c>
      <c r="D108" s="892"/>
      <c r="E108" s="892"/>
      <c r="F108" s="892"/>
      <c r="G108" s="876"/>
      <c r="H108" s="893"/>
      <c r="I108" s="889"/>
      <c r="J108" s="873" t="s">
        <v>245</v>
      </c>
      <c r="K108" s="895">
        <f>SUM(L108:P108)</f>
        <v>0</v>
      </c>
      <c r="L108" s="892"/>
      <c r="M108" s="892"/>
      <c r="N108" s="892"/>
      <c r="O108" s="876"/>
      <c r="P108" s="893"/>
      <c r="R108" s="873" t="s">
        <v>245</v>
      </c>
      <c r="S108" s="895">
        <f>SUM(T108:X108)</f>
        <v>0</v>
      </c>
      <c r="T108" s="892"/>
      <c r="U108" s="892"/>
      <c r="V108" s="892"/>
      <c r="W108" s="876"/>
      <c r="X108" s="893"/>
    </row>
    <row r="109" spans="2:24" s="818" customFormat="1" ht="15.75" customHeight="1">
      <c r="B109" s="873" t="s">
        <v>427</v>
      </c>
      <c r="C109" s="895">
        <f>SUM(D109:H109)</f>
        <v>0</v>
      </c>
      <c r="D109" s="892"/>
      <c r="E109" s="892"/>
      <c r="F109" s="892"/>
      <c r="G109" s="876"/>
      <c r="H109" s="893"/>
      <c r="I109" s="889"/>
      <c r="J109" s="873" t="s">
        <v>427</v>
      </c>
      <c r="K109" s="895">
        <f>SUM(L109:P109)</f>
        <v>0</v>
      </c>
      <c r="L109" s="892"/>
      <c r="M109" s="892"/>
      <c r="N109" s="892"/>
      <c r="O109" s="876"/>
      <c r="P109" s="893"/>
      <c r="R109" s="873" t="s">
        <v>427</v>
      </c>
      <c r="S109" s="895">
        <f>SUM(T109:X109)</f>
        <v>0</v>
      </c>
      <c r="T109" s="892"/>
      <c r="U109" s="892"/>
      <c r="V109" s="892"/>
      <c r="W109" s="876"/>
      <c r="X109" s="893"/>
    </row>
    <row r="110" spans="2:24" s="818" customFormat="1" ht="15.75" customHeight="1">
      <c r="B110" s="873" t="s">
        <v>506</v>
      </c>
      <c r="C110" s="895">
        <f>SUM(D110:H110)</f>
        <v>0</v>
      </c>
      <c r="D110" s="892"/>
      <c r="E110" s="892"/>
      <c r="F110" s="892"/>
      <c r="G110" s="876"/>
      <c r="H110" s="893"/>
      <c r="I110" s="889"/>
      <c r="J110" s="873" t="s">
        <v>506</v>
      </c>
      <c r="K110" s="895">
        <f>SUM(L110:P110)</f>
        <v>0</v>
      </c>
      <c r="L110" s="892"/>
      <c r="M110" s="892"/>
      <c r="N110" s="892"/>
      <c r="O110" s="876"/>
      <c r="P110" s="893"/>
      <c r="R110" s="873" t="s">
        <v>506</v>
      </c>
      <c r="S110" s="895">
        <f>SUM(T110:X110)</f>
        <v>0</v>
      </c>
      <c r="T110" s="892"/>
      <c r="U110" s="892"/>
      <c r="V110" s="892"/>
      <c r="W110" s="876"/>
      <c r="X110" s="893"/>
    </row>
    <row r="111" spans="2:24" s="818" customFormat="1" ht="15.75" customHeight="1" thickBot="1">
      <c r="B111" s="878" t="s">
        <v>220</v>
      </c>
      <c r="C111" s="879">
        <f t="shared" ref="C111:H111" si="18">SUM(C107:C110)</f>
        <v>0</v>
      </c>
      <c r="D111" s="880">
        <f t="shared" si="18"/>
        <v>0</v>
      </c>
      <c r="E111" s="880">
        <f t="shared" si="18"/>
        <v>0</v>
      </c>
      <c r="F111" s="880">
        <f t="shared" si="18"/>
        <v>0</v>
      </c>
      <c r="G111" s="880">
        <f t="shared" si="18"/>
        <v>0</v>
      </c>
      <c r="H111" s="881">
        <f t="shared" si="18"/>
        <v>0</v>
      </c>
      <c r="I111" s="889"/>
      <c r="J111" s="878" t="s">
        <v>220</v>
      </c>
      <c r="K111" s="879">
        <f t="shared" ref="K111:P111" si="19">SUM(K107:K110)</f>
        <v>0</v>
      </c>
      <c r="L111" s="880">
        <f t="shared" si="19"/>
        <v>0</v>
      </c>
      <c r="M111" s="880">
        <f t="shared" si="19"/>
        <v>0</v>
      </c>
      <c r="N111" s="880">
        <f t="shared" si="19"/>
        <v>0</v>
      </c>
      <c r="O111" s="880">
        <f t="shared" si="19"/>
        <v>0</v>
      </c>
      <c r="P111" s="881">
        <f t="shared" si="19"/>
        <v>0</v>
      </c>
      <c r="R111" s="878" t="s">
        <v>220</v>
      </c>
      <c r="S111" s="879">
        <f t="shared" ref="S111:X111" si="20">SUM(S107:S110)</f>
        <v>0</v>
      </c>
      <c r="T111" s="880">
        <f t="shared" si="20"/>
        <v>0</v>
      </c>
      <c r="U111" s="880">
        <f t="shared" si="20"/>
        <v>0</v>
      </c>
      <c r="V111" s="880">
        <f t="shared" si="20"/>
        <v>0</v>
      </c>
      <c r="W111" s="880">
        <f t="shared" si="20"/>
        <v>0</v>
      </c>
      <c r="X111" s="881">
        <f t="shared" si="20"/>
        <v>0</v>
      </c>
    </row>
    <row r="112" spans="2:24" s="818" customFormat="1" ht="15.75" customHeight="1" thickBot="1">
      <c r="B112" s="899"/>
      <c r="C112" s="900"/>
      <c r="D112" s="900"/>
      <c r="E112" s="900"/>
      <c r="F112" s="900"/>
      <c r="G112" s="900"/>
      <c r="H112" s="900"/>
      <c r="I112" s="889"/>
      <c r="J112" s="899"/>
      <c r="K112" s="900"/>
      <c r="L112" s="900"/>
      <c r="M112" s="900"/>
      <c r="N112" s="900"/>
      <c r="O112" s="900"/>
      <c r="P112" s="900"/>
      <c r="R112" s="899"/>
      <c r="S112" s="900"/>
      <c r="T112" s="900"/>
      <c r="U112" s="900"/>
      <c r="V112" s="900"/>
      <c r="W112" s="900"/>
      <c r="X112" s="900"/>
    </row>
    <row r="113" spans="2:24" s="818" customFormat="1" ht="15.75" customHeight="1">
      <c r="B113" s="1564" t="s">
        <v>515</v>
      </c>
      <c r="C113" s="1570"/>
      <c r="D113" s="1570"/>
      <c r="E113" s="1570"/>
      <c r="F113" s="1570"/>
      <c r="G113" s="1570"/>
      <c r="H113" s="1571"/>
      <c r="I113" s="882"/>
      <c r="J113" s="1564" t="s">
        <v>516</v>
      </c>
      <c r="K113" s="1570"/>
      <c r="L113" s="1570"/>
      <c r="M113" s="1570"/>
      <c r="N113" s="1570"/>
      <c r="O113" s="1570"/>
      <c r="P113" s="1571"/>
      <c r="R113" s="1564" t="s">
        <v>212</v>
      </c>
      <c r="S113" s="1570"/>
      <c r="T113" s="1570"/>
      <c r="U113" s="1570"/>
      <c r="V113" s="1570"/>
      <c r="W113" s="1570"/>
      <c r="X113" s="1571"/>
    </row>
    <row r="114" spans="2:24" s="818" customFormat="1" ht="15.75" customHeight="1">
      <c r="B114" s="1572"/>
      <c r="C114" s="1577" t="s">
        <v>525</v>
      </c>
      <c r="D114" s="901" t="s">
        <v>518</v>
      </c>
      <c r="E114" s="902"/>
      <c r="F114" s="902"/>
      <c r="G114" s="902"/>
      <c r="H114" s="903"/>
      <c r="J114" s="1572"/>
      <c r="K114" s="1577" t="s">
        <v>525</v>
      </c>
      <c r="L114" s="939" t="s">
        <v>519</v>
      </c>
      <c r="M114" s="940"/>
      <c r="N114" s="940"/>
      <c r="O114" s="940"/>
      <c r="P114" s="941"/>
      <c r="R114" s="1572"/>
      <c r="S114" s="1577" t="s">
        <v>525</v>
      </c>
      <c r="T114" s="1557" t="s">
        <v>519</v>
      </c>
      <c r="U114" s="1558"/>
      <c r="V114" s="1558"/>
      <c r="W114" s="1558"/>
      <c r="X114" s="1559"/>
    </row>
    <row r="115" spans="2:24" s="818" customFormat="1" ht="42.75" customHeight="1">
      <c r="B115" s="1573"/>
      <c r="C115" s="1578"/>
      <c r="D115" s="887" t="s">
        <v>533</v>
      </c>
      <c r="E115" s="887" t="s">
        <v>522</v>
      </c>
      <c r="F115" s="887" t="s">
        <v>435</v>
      </c>
      <c r="G115" s="887" t="s">
        <v>534</v>
      </c>
      <c r="H115" s="888" t="s">
        <v>524</v>
      </c>
      <c r="I115" s="889"/>
      <c r="J115" s="1573"/>
      <c r="K115" s="1578"/>
      <c r="L115" s="887" t="s">
        <v>533</v>
      </c>
      <c r="M115" s="887" t="s">
        <v>522</v>
      </c>
      <c r="N115" s="887" t="s">
        <v>435</v>
      </c>
      <c r="O115" s="887" t="s">
        <v>534</v>
      </c>
      <c r="P115" s="888" t="s">
        <v>524</v>
      </c>
      <c r="R115" s="1573"/>
      <c r="S115" s="1578"/>
      <c r="T115" s="887" t="s">
        <v>533</v>
      </c>
      <c r="U115" s="887" t="s">
        <v>522</v>
      </c>
      <c r="V115" s="887" t="s">
        <v>435</v>
      </c>
      <c r="W115" s="887" t="s">
        <v>534</v>
      </c>
      <c r="X115" s="888" t="s">
        <v>524</v>
      </c>
    </row>
    <row r="116" spans="2:24" s="818" customFormat="1" ht="15.75" customHeight="1">
      <c r="B116" s="906" t="s">
        <v>438</v>
      </c>
      <c r="C116" s="896"/>
      <c r="D116" s="896"/>
      <c r="E116" s="896"/>
      <c r="F116" s="896"/>
      <c r="G116" s="909"/>
      <c r="H116" s="907"/>
      <c r="I116" s="889"/>
      <c r="J116" s="894" t="s">
        <v>438</v>
      </c>
      <c r="K116" s="908"/>
      <c r="L116" s="896"/>
      <c r="M116" s="896"/>
      <c r="N116" s="896"/>
      <c r="O116" s="897"/>
      <c r="P116" s="909"/>
      <c r="R116" s="894" t="s">
        <v>438</v>
      </c>
      <c r="S116" s="908"/>
      <c r="T116" s="896"/>
      <c r="U116" s="896"/>
      <c r="V116" s="896"/>
      <c r="W116" s="897"/>
      <c r="X116" s="909"/>
    </row>
    <row r="117" spans="2:24" s="818" customFormat="1" ht="15.75" customHeight="1">
      <c r="B117" s="910" t="s">
        <v>245</v>
      </c>
      <c r="C117" s="892"/>
      <c r="D117" s="892"/>
      <c r="E117" s="892"/>
      <c r="F117" s="892"/>
      <c r="G117" s="913"/>
      <c r="H117" s="911"/>
      <c r="I117" s="889"/>
      <c r="J117" s="873" t="s">
        <v>245</v>
      </c>
      <c r="K117" s="912"/>
      <c r="L117" s="892"/>
      <c r="M117" s="892"/>
      <c r="N117" s="892"/>
      <c r="O117" s="876"/>
      <c r="P117" s="913"/>
      <c r="R117" s="873" t="s">
        <v>245</v>
      </c>
      <c r="S117" s="912"/>
      <c r="T117" s="892"/>
      <c r="U117" s="892"/>
      <c r="V117" s="892"/>
      <c r="W117" s="876"/>
      <c r="X117" s="913"/>
    </row>
    <row r="118" spans="2:24" s="818" customFormat="1" ht="15.75" customHeight="1">
      <c r="B118" s="910" t="s">
        <v>427</v>
      </c>
      <c r="C118" s="892"/>
      <c r="D118" s="892"/>
      <c r="E118" s="892"/>
      <c r="F118" s="892"/>
      <c r="G118" s="913"/>
      <c r="H118" s="911"/>
      <c r="I118" s="889"/>
      <c r="J118" s="873" t="s">
        <v>427</v>
      </c>
      <c r="K118" s="912"/>
      <c r="L118" s="892"/>
      <c r="M118" s="892"/>
      <c r="N118" s="892"/>
      <c r="O118" s="876"/>
      <c r="P118" s="913"/>
      <c r="R118" s="873" t="s">
        <v>427</v>
      </c>
      <c r="S118" s="912"/>
      <c r="T118" s="892"/>
      <c r="U118" s="892"/>
      <c r="V118" s="892"/>
      <c r="W118" s="876"/>
      <c r="X118" s="913"/>
    </row>
    <row r="119" spans="2:24" s="818" customFormat="1" ht="15.75" customHeight="1">
      <c r="B119" s="910" t="s">
        <v>506</v>
      </c>
      <c r="C119" s="892"/>
      <c r="D119" s="892"/>
      <c r="E119" s="892"/>
      <c r="F119" s="892"/>
      <c r="G119" s="913"/>
      <c r="H119" s="911"/>
      <c r="I119" s="889"/>
      <c r="J119" s="873" t="s">
        <v>506</v>
      </c>
      <c r="K119" s="912"/>
      <c r="L119" s="892"/>
      <c r="M119" s="892"/>
      <c r="N119" s="892"/>
      <c r="O119" s="876"/>
      <c r="P119" s="913"/>
      <c r="R119" s="873" t="s">
        <v>506</v>
      </c>
      <c r="S119" s="912"/>
      <c r="T119" s="892"/>
      <c r="U119" s="892"/>
      <c r="V119" s="892"/>
      <c r="W119" s="876"/>
      <c r="X119" s="913"/>
    </row>
    <row r="120" spans="2:24" s="818" customFormat="1" ht="15.75" customHeight="1" thickBot="1">
      <c r="B120" s="914" t="s">
        <v>220</v>
      </c>
      <c r="C120" s="915">
        <f>SUM(C116:C119)</f>
        <v>0</v>
      </c>
      <c r="D120" s="880">
        <f>SUM(D116:D119)</f>
        <v>0</v>
      </c>
      <c r="E120" s="880">
        <f>SUM(E116:E119)</f>
        <v>0</v>
      </c>
      <c r="F120" s="880">
        <f>SUM(F116:F119)</f>
        <v>0</v>
      </c>
      <c r="G120" s="942"/>
      <c r="H120" s="916">
        <f>SUM(H116:H119)</f>
        <v>0</v>
      </c>
      <c r="I120" s="889"/>
      <c r="J120" s="878" t="s">
        <v>220</v>
      </c>
      <c r="K120" s="879">
        <f t="shared" ref="K120:P120" si="21">SUM(K116:K119)</f>
        <v>0</v>
      </c>
      <c r="L120" s="880">
        <f t="shared" si="21"/>
        <v>0</v>
      </c>
      <c r="M120" s="880">
        <f t="shared" si="21"/>
        <v>0</v>
      </c>
      <c r="N120" s="880">
        <f t="shared" si="21"/>
        <v>0</v>
      </c>
      <c r="O120" s="880">
        <f t="shared" si="21"/>
        <v>0</v>
      </c>
      <c r="P120" s="916">
        <f t="shared" si="21"/>
        <v>0</v>
      </c>
      <c r="R120" s="878" t="s">
        <v>220</v>
      </c>
      <c r="S120" s="879">
        <f t="shared" ref="S120:X120" si="22">SUM(S116:S119)</f>
        <v>0</v>
      </c>
      <c r="T120" s="880">
        <f t="shared" si="22"/>
        <v>0</v>
      </c>
      <c r="U120" s="880">
        <f t="shared" si="22"/>
        <v>0</v>
      </c>
      <c r="V120" s="880">
        <f t="shared" si="22"/>
        <v>0</v>
      </c>
      <c r="W120" s="880">
        <f t="shared" si="22"/>
        <v>0</v>
      </c>
      <c r="X120" s="916">
        <f t="shared" si="22"/>
        <v>0</v>
      </c>
    </row>
    <row r="121" spans="2:24" s="818" customFormat="1" ht="15.75" customHeight="1" thickBot="1">
      <c r="B121" s="899"/>
      <c r="C121" s="900"/>
      <c r="D121" s="900"/>
      <c r="E121" s="900"/>
      <c r="F121" s="900"/>
      <c r="G121" s="900"/>
      <c r="H121" s="900"/>
      <c r="I121" s="889"/>
      <c r="J121" s="899"/>
      <c r="K121" s="900"/>
      <c r="L121" s="900"/>
      <c r="M121" s="900"/>
      <c r="N121" s="900"/>
      <c r="O121" s="900"/>
      <c r="P121" s="900"/>
      <c r="R121" s="899"/>
      <c r="S121" s="900"/>
      <c r="T121" s="900"/>
      <c r="U121" s="900"/>
      <c r="V121" s="900"/>
      <c r="W121" s="900"/>
      <c r="X121" s="900"/>
    </row>
    <row r="122" spans="2:24" s="818" customFormat="1" ht="15.75" customHeight="1">
      <c r="B122" s="1564" t="s">
        <v>515</v>
      </c>
      <c r="C122" s="1570"/>
      <c r="D122" s="1570"/>
      <c r="E122" s="1570"/>
      <c r="F122" s="1570"/>
      <c r="G122" s="1570"/>
      <c r="H122" s="1571"/>
      <c r="J122" s="1564" t="s">
        <v>516</v>
      </c>
      <c r="K122" s="1570"/>
      <c r="L122" s="1570"/>
      <c r="M122" s="1570"/>
      <c r="N122" s="1570"/>
      <c r="O122" s="1570"/>
      <c r="P122" s="1571"/>
      <c r="R122" s="1564" t="s">
        <v>212</v>
      </c>
      <c r="S122" s="1570"/>
      <c r="T122" s="1570"/>
      <c r="U122" s="1570"/>
      <c r="V122" s="1570"/>
      <c r="W122" s="1570"/>
      <c r="X122" s="1571"/>
    </row>
    <row r="123" spans="2:24" s="818" customFormat="1" ht="15.75" customHeight="1">
      <c r="B123" s="1572"/>
      <c r="C123" s="1577" t="s">
        <v>526</v>
      </c>
      <c r="D123" s="939" t="s">
        <v>527</v>
      </c>
      <c r="E123" s="940"/>
      <c r="F123" s="940"/>
      <c r="G123" s="940"/>
      <c r="H123" s="941"/>
      <c r="J123" s="1572"/>
      <c r="K123" s="1582" t="s">
        <v>526</v>
      </c>
      <c r="L123" s="901" t="s">
        <v>528</v>
      </c>
      <c r="M123" s="902"/>
      <c r="N123" s="902"/>
      <c r="O123" s="902"/>
      <c r="P123" s="903"/>
      <c r="R123" s="1572"/>
      <c r="S123" s="1577" t="s">
        <v>526</v>
      </c>
      <c r="T123" s="1557" t="s">
        <v>528</v>
      </c>
      <c r="U123" s="1558"/>
      <c r="V123" s="1558"/>
      <c r="W123" s="1558"/>
      <c r="X123" s="1559"/>
    </row>
    <row r="124" spans="2:24" s="818" customFormat="1" ht="39.75" customHeight="1">
      <c r="B124" s="1573"/>
      <c r="C124" s="1578"/>
      <c r="D124" s="887" t="s">
        <v>533</v>
      </c>
      <c r="E124" s="887" t="s">
        <v>522</v>
      </c>
      <c r="F124" s="887" t="s">
        <v>435</v>
      </c>
      <c r="G124" s="887" t="s">
        <v>534</v>
      </c>
      <c r="H124" s="888" t="s">
        <v>524</v>
      </c>
      <c r="J124" s="1573"/>
      <c r="K124" s="1578"/>
      <c r="L124" s="887" t="s">
        <v>533</v>
      </c>
      <c r="M124" s="887" t="s">
        <v>522</v>
      </c>
      <c r="N124" s="887" t="s">
        <v>435</v>
      </c>
      <c r="O124" s="887" t="s">
        <v>534</v>
      </c>
      <c r="P124" s="888" t="s">
        <v>524</v>
      </c>
      <c r="R124" s="1573"/>
      <c r="S124" s="1578"/>
      <c r="T124" s="887" t="s">
        <v>533</v>
      </c>
      <c r="U124" s="887" t="s">
        <v>522</v>
      </c>
      <c r="V124" s="887" t="s">
        <v>435</v>
      </c>
      <c r="W124" s="887" t="s">
        <v>534</v>
      </c>
      <c r="X124" s="888" t="s">
        <v>524</v>
      </c>
    </row>
    <row r="125" spans="2:24" s="818" customFormat="1" ht="15.75" customHeight="1">
      <c r="B125" s="894" t="s">
        <v>438</v>
      </c>
      <c r="C125" s="919">
        <f>SUM(D42:F42)</f>
        <v>0</v>
      </c>
      <c r="D125" s="920"/>
      <c r="E125" s="920"/>
      <c r="F125" s="920"/>
      <c r="G125" s="909"/>
      <c r="H125" s="923"/>
      <c r="J125" s="894" t="s">
        <v>438</v>
      </c>
      <c r="K125" s="919">
        <f>SUM(G42:H42)</f>
        <v>0</v>
      </c>
      <c r="L125" s="920"/>
      <c r="M125" s="920"/>
      <c r="N125" s="920"/>
      <c r="O125" s="909"/>
      <c r="P125" s="923"/>
      <c r="R125" s="894" t="s">
        <v>438</v>
      </c>
      <c r="S125" s="919">
        <f>SUM(I42:M42)</f>
        <v>0</v>
      </c>
      <c r="T125" s="920"/>
      <c r="U125" s="920"/>
      <c r="V125" s="920"/>
      <c r="W125" s="909"/>
      <c r="X125" s="923"/>
    </row>
    <row r="126" spans="2:24" s="818" customFormat="1" ht="15.75" customHeight="1">
      <c r="B126" s="873" t="s">
        <v>245</v>
      </c>
      <c r="C126" s="919">
        <f>SUM(D43:F43)</f>
        <v>0</v>
      </c>
      <c r="D126" s="837"/>
      <c r="E126" s="837"/>
      <c r="F126" s="837"/>
      <c r="G126" s="913"/>
      <c r="H126" s="921"/>
      <c r="J126" s="873" t="s">
        <v>245</v>
      </c>
      <c r="K126" s="919">
        <f>SUM(G43:H43)</f>
        <v>0</v>
      </c>
      <c r="L126" s="837"/>
      <c r="M126" s="837"/>
      <c r="N126" s="837"/>
      <c r="O126" s="913"/>
      <c r="P126" s="921"/>
      <c r="R126" s="873" t="s">
        <v>245</v>
      </c>
      <c r="S126" s="919">
        <f>SUM(I43:M43)</f>
        <v>0</v>
      </c>
      <c r="T126" s="837"/>
      <c r="U126" s="837"/>
      <c r="V126" s="837"/>
      <c r="W126" s="913"/>
      <c r="X126" s="921"/>
    </row>
    <row r="127" spans="2:24" s="818" customFormat="1" ht="15.75" customHeight="1">
      <c r="B127" s="873" t="s">
        <v>427</v>
      </c>
      <c r="C127" s="919">
        <f>SUM(D44:F44)</f>
        <v>0</v>
      </c>
      <c r="D127" s="837"/>
      <c r="E127" s="837"/>
      <c r="F127" s="837"/>
      <c r="G127" s="913"/>
      <c r="H127" s="921"/>
      <c r="J127" s="873" t="s">
        <v>427</v>
      </c>
      <c r="K127" s="919">
        <f>SUM(G44:H44)</f>
        <v>0</v>
      </c>
      <c r="L127" s="837"/>
      <c r="M127" s="837"/>
      <c r="N127" s="837"/>
      <c r="O127" s="913"/>
      <c r="P127" s="921"/>
      <c r="R127" s="873" t="s">
        <v>427</v>
      </c>
      <c r="S127" s="919">
        <f>SUM(I44:M44)</f>
        <v>0</v>
      </c>
      <c r="T127" s="837"/>
      <c r="U127" s="837"/>
      <c r="V127" s="837"/>
      <c r="W127" s="913"/>
      <c r="X127" s="921"/>
    </row>
    <row r="128" spans="2:24" s="818" customFormat="1" ht="15.75" customHeight="1">
      <c r="B128" s="873" t="s">
        <v>506</v>
      </c>
      <c r="C128" s="919">
        <f>SUM(D45:F45)</f>
        <v>0</v>
      </c>
      <c r="D128" s="837"/>
      <c r="E128" s="837"/>
      <c r="F128" s="837"/>
      <c r="G128" s="913"/>
      <c r="H128" s="921"/>
      <c r="J128" s="873" t="s">
        <v>506</v>
      </c>
      <c r="K128" s="919">
        <f>SUM(G45:H45)</f>
        <v>0</v>
      </c>
      <c r="L128" s="837"/>
      <c r="M128" s="837"/>
      <c r="N128" s="837"/>
      <c r="O128" s="913"/>
      <c r="P128" s="921"/>
      <c r="R128" s="873" t="s">
        <v>506</v>
      </c>
      <c r="S128" s="919">
        <f>SUM(I45:M45)</f>
        <v>0</v>
      </c>
      <c r="T128" s="837"/>
      <c r="U128" s="837"/>
      <c r="V128" s="837"/>
      <c r="W128" s="913"/>
      <c r="X128" s="921"/>
    </row>
    <row r="129" spans="2:24" s="818" customFormat="1" ht="15.75" customHeight="1" thickBot="1">
      <c r="B129" s="878" t="s">
        <v>220</v>
      </c>
      <c r="C129" s="924">
        <f>SUM(C125:C128)</f>
        <v>0</v>
      </c>
      <c r="D129" s="925">
        <f>SUM(D125:D128)</f>
        <v>0</v>
      </c>
      <c r="E129" s="925">
        <f>SUM(E125:E128)</f>
        <v>0</v>
      </c>
      <c r="F129" s="925">
        <f>SUM(F125:F128)</f>
        <v>0</v>
      </c>
      <c r="G129" s="942"/>
      <c r="H129" s="916">
        <f>SUM(H125:H128)</f>
        <v>0</v>
      </c>
      <c r="J129" s="878" t="s">
        <v>220</v>
      </c>
      <c r="K129" s="924">
        <f>SUM(K125:K128)</f>
        <v>0</v>
      </c>
      <c r="L129" s="925">
        <f>SUM(L125:L128)</f>
        <v>0</v>
      </c>
      <c r="M129" s="925">
        <f>SUM(M125:M128)</f>
        <v>0</v>
      </c>
      <c r="N129" s="925">
        <f>SUM(N125:N128)</f>
        <v>0</v>
      </c>
      <c r="O129" s="942"/>
      <c r="P129" s="916">
        <f>SUM(P125:P128)</f>
        <v>0</v>
      </c>
      <c r="R129" s="878" t="s">
        <v>220</v>
      </c>
      <c r="S129" s="924">
        <f>SUM(S125:S128)</f>
        <v>0</v>
      </c>
      <c r="T129" s="925">
        <f>SUM(T125:T128)</f>
        <v>0</v>
      </c>
      <c r="U129" s="925">
        <f>SUM(U125:U128)</f>
        <v>0</v>
      </c>
      <c r="V129" s="925">
        <f>SUM(V125:V128)</f>
        <v>0</v>
      </c>
      <c r="W129" s="942"/>
      <c r="X129" s="916">
        <f>SUM(X125:X128)</f>
        <v>0</v>
      </c>
    </row>
    <row r="130" spans="2:24" s="818" customFormat="1" ht="15.75" customHeight="1" thickBot="1"/>
    <row r="131" spans="2:24" s="818" customFormat="1" ht="15.75" customHeight="1">
      <c r="B131" s="1564" t="s">
        <v>515</v>
      </c>
      <c r="C131" s="1570"/>
      <c r="D131" s="1570"/>
      <c r="E131" s="1570"/>
      <c r="F131" s="1570"/>
      <c r="G131" s="1570"/>
      <c r="H131" s="1571"/>
      <c r="J131" s="1564" t="s">
        <v>516</v>
      </c>
      <c r="K131" s="1570"/>
      <c r="L131" s="1570"/>
      <c r="M131" s="1570"/>
      <c r="N131" s="1570"/>
      <c r="O131" s="1570"/>
      <c r="P131" s="1571"/>
      <c r="R131" s="1564" t="s">
        <v>212</v>
      </c>
      <c r="S131" s="1570"/>
      <c r="T131" s="1570"/>
      <c r="U131" s="1570"/>
      <c r="V131" s="1570"/>
      <c r="W131" s="1570"/>
      <c r="X131" s="1571"/>
    </row>
    <row r="132" spans="2:24" s="818" customFormat="1" ht="15.75" customHeight="1">
      <c r="B132" s="1572"/>
      <c r="C132" s="1577" t="s">
        <v>529</v>
      </c>
      <c r="D132" s="939" t="s">
        <v>530</v>
      </c>
      <c r="E132" s="940"/>
      <c r="F132" s="940"/>
      <c r="G132" s="940"/>
      <c r="H132" s="941"/>
      <c r="J132" s="1572"/>
      <c r="K132" s="1577" t="s">
        <v>529</v>
      </c>
      <c r="L132" s="939" t="s">
        <v>531</v>
      </c>
      <c r="M132" s="940"/>
      <c r="N132" s="940"/>
      <c r="O132" s="940"/>
      <c r="P132" s="941"/>
      <c r="R132" s="1572"/>
      <c r="S132" s="1577" t="s">
        <v>529</v>
      </c>
      <c r="T132" s="1557" t="s">
        <v>531</v>
      </c>
      <c r="U132" s="1558"/>
      <c r="V132" s="1558"/>
      <c r="W132" s="1558"/>
      <c r="X132" s="1559"/>
    </row>
    <row r="133" spans="2:24" s="818" customFormat="1" ht="40.5" customHeight="1">
      <c r="B133" s="1573"/>
      <c r="C133" s="1583"/>
      <c r="D133" s="887" t="s">
        <v>533</v>
      </c>
      <c r="E133" s="887" t="s">
        <v>522</v>
      </c>
      <c r="F133" s="887" t="s">
        <v>435</v>
      </c>
      <c r="G133" s="887" t="s">
        <v>534</v>
      </c>
      <c r="H133" s="888" t="s">
        <v>524</v>
      </c>
      <c r="J133" s="1573"/>
      <c r="K133" s="1578"/>
      <c r="L133" s="887" t="s">
        <v>533</v>
      </c>
      <c r="M133" s="887" t="s">
        <v>522</v>
      </c>
      <c r="N133" s="887" t="s">
        <v>435</v>
      </c>
      <c r="O133" s="887" t="s">
        <v>534</v>
      </c>
      <c r="P133" s="888" t="s">
        <v>524</v>
      </c>
      <c r="R133" s="1573"/>
      <c r="S133" s="1578"/>
      <c r="T133" s="887" t="s">
        <v>533</v>
      </c>
      <c r="U133" s="887" t="s">
        <v>522</v>
      </c>
      <c r="V133" s="887" t="s">
        <v>435</v>
      </c>
      <c r="W133" s="887" t="s">
        <v>534</v>
      </c>
      <c r="X133" s="888" t="s">
        <v>524</v>
      </c>
    </row>
    <row r="134" spans="2:24" s="818" customFormat="1" ht="15.75" customHeight="1">
      <c r="B134" s="894" t="s">
        <v>438</v>
      </c>
      <c r="C134" s="919">
        <f t="shared" ref="C134:F137" si="23">IF(C116&gt;0,C125*1000/C116,0)</f>
        <v>0</v>
      </c>
      <c r="D134" s="928">
        <f t="shared" si="23"/>
        <v>0</v>
      </c>
      <c r="E134" s="928">
        <f t="shared" si="23"/>
        <v>0</v>
      </c>
      <c r="F134" s="928">
        <f t="shared" si="23"/>
        <v>0</v>
      </c>
      <c r="G134" s="907"/>
      <c r="H134" s="923"/>
      <c r="J134" s="894" t="s">
        <v>438</v>
      </c>
      <c r="K134" s="919">
        <f t="shared" ref="K134:N137" si="24">IF(K116&gt;0,K125*1000/K116,0)</f>
        <v>0</v>
      </c>
      <c r="L134" s="928"/>
      <c r="M134" s="928"/>
      <c r="N134" s="928">
        <f t="shared" si="24"/>
        <v>0</v>
      </c>
      <c r="O134" s="907"/>
      <c r="P134" s="923"/>
      <c r="R134" s="894" t="s">
        <v>438</v>
      </c>
      <c r="S134" s="919">
        <f t="shared" ref="S134:V137" si="25">IF(S116&gt;0,S125*1000/S116,0)</f>
        <v>0</v>
      </c>
      <c r="T134" s="928">
        <f t="shared" si="25"/>
        <v>0</v>
      </c>
      <c r="U134" s="928">
        <f t="shared" si="25"/>
        <v>0</v>
      </c>
      <c r="V134" s="928">
        <f t="shared" si="25"/>
        <v>0</v>
      </c>
      <c r="W134" s="907"/>
      <c r="X134" s="923"/>
    </row>
    <row r="135" spans="2:24" s="818" customFormat="1" ht="15.75" customHeight="1">
      <c r="B135" s="873" t="s">
        <v>245</v>
      </c>
      <c r="C135" s="930">
        <f t="shared" si="23"/>
        <v>0</v>
      </c>
      <c r="D135" s="931">
        <f t="shared" si="23"/>
        <v>0</v>
      </c>
      <c r="E135" s="931">
        <f t="shared" si="23"/>
        <v>0</v>
      </c>
      <c r="F135" s="931">
        <f t="shared" si="23"/>
        <v>0</v>
      </c>
      <c r="G135" s="911"/>
      <c r="H135" s="921"/>
      <c r="J135" s="873" t="s">
        <v>245</v>
      </c>
      <c r="K135" s="930">
        <f t="shared" si="24"/>
        <v>0</v>
      </c>
      <c r="L135" s="931">
        <f t="shared" si="24"/>
        <v>0</v>
      </c>
      <c r="M135" s="931">
        <f t="shared" si="24"/>
        <v>0</v>
      </c>
      <c r="N135" s="931">
        <f t="shared" si="24"/>
        <v>0</v>
      </c>
      <c r="O135" s="911"/>
      <c r="P135" s="921"/>
      <c r="R135" s="873" t="s">
        <v>245</v>
      </c>
      <c r="S135" s="930">
        <f t="shared" si="25"/>
        <v>0</v>
      </c>
      <c r="T135" s="931">
        <f t="shared" si="25"/>
        <v>0</v>
      </c>
      <c r="U135" s="931">
        <f t="shared" si="25"/>
        <v>0</v>
      </c>
      <c r="V135" s="931">
        <f t="shared" si="25"/>
        <v>0</v>
      </c>
      <c r="W135" s="911"/>
      <c r="X135" s="921"/>
    </row>
    <row r="136" spans="2:24" s="818" customFormat="1" ht="15.75" customHeight="1">
      <c r="B136" s="873" t="s">
        <v>427</v>
      </c>
      <c r="C136" s="930">
        <f t="shared" si="23"/>
        <v>0</v>
      </c>
      <c r="D136" s="931">
        <f t="shared" si="23"/>
        <v>0</v>
      </c>
      <c r="E136" s="931">
        <f t="shared" si="23"/>
        <v>0</v>
      </c>
      <c r="F136" s="931">
        <f t="shared" si="23"/>
        <v>0</v>
      </c>
      <c r="G136" s="911"/>
      <c r="H136" s="921"/>
      <c r="J136" s="873" t="s">
        <v>427</v>
      </c>
      <c r="K136" s="930">
        <f t="shared" si="24"/>
        <v>0</v>
      </c>
      <c r="L136" s="931">
        <f t="shared" si="24"/>
        <v>0</v>
      </c>
      <c r="M136" s="931">
        <f t="shared" si="24"/>
        <v>0</v>
      </c>
      <c r="N136" s="931">
        <f t="shared" si="24"/>
        <v>0</v>
      </c>
      <c r="O136" s="911"/>
      <c r="P136" s="921"/>
      <c r="R136" s="873" t="s">
        <v>427</v>
      </c>
      <c r="S136" s="930">
        <f t="shared" si="25"/>
        <v>0</v>
      </c>
      <c r="T136" s="931">
        <f t="shared" si="25"/>
        <v>0</v>
      </c>
      <c r="U136" s="931">
        <f t="shared" si="25"/>
        <v>0</v>
      </c>
      <c r="V136" s="931">
        <f t="shared" si="25"/>
        <v>0</v>
      </c>
      <c r="W136" s="911"/>
      <c r="X136" s="921"/>
    </row>
    <row r="137" spans="2:24" s="818" customFormat="1" ht="15.75" customHeight="1" thickBot="1">
      <c r="B137" s="932" t="s">
        <v>506</v>
      </c>
      <c r="C137" s="933">
        <f t="shared" si="23"/>
        <v>0</v>
      </c>
      <c r="D137" s="934">
        <f t="shared" si="23"/>
        <v>0</v>
      </c>
      <c r="E137" s="934">
        <f t="shared" si="23"/>
        <v>0</v>
      </c>
      <c r="F137" s="934">
        <f t="shared" si="23"/>
        <v>0</v>
      </c>
      <c r="G137" s="943"/>
      <c r="H137" s="935"/>
      <c r="J137" s="932" t="s">
        <v>506</v>
      </c>
      <c r="K137" s="933">
        <f t="shared" si="24"/>
        <v>0</v>
      </c>
      <c r="L137" s="934">
        <f t="shared" si="24"/>
        <v>0</v>
      </c>
      <c r="M137" s="934">
        <f t="shared" si="24"/>
        <v>0</v>
      </c>
      <c r="N137" s="934">
        <f t="shared" si="24"/>
        <v>0</v>
      </c>
      <c r="O137" s="943"/>
      <c r="P137" s="935"/>
      <c r="R137" s="932" t="s">
        <v>506</v>
      </c>
      <c r="S137" s="933">
        <f t="shared" si="25"/>
        <v>0</v>
      </c>
      <c r="T137" s="934">
        <f t="shared" si="25"/>
        <v>0</v>
      </c>
      <c r="U137" s="934">
        <f t="shared" si="25"/>
        <v>0</v>
      </c>
      <c r="V137" s="934">
        <f t="shared" si="25"/>
        <v>0</v>
      </c>
      <c r="W137" s="943"/>
      <c r="X137" s="935"/>
    </row>
  </sheetData>
  <sheetProtection insertRows="0"/>
  <mergeCells count="86">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 ref="S114:S115"/>
    <mergeCell ref="T114:X114"/>
    <mergeCell ref="B122:H122"/>
    <mergeCell ref="J122:P122"/>
    <mergeCell ref="R122:X122"/>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B76:H76"/>
    <mergeCell ref="J76:P76"/>
    <mergeCell ref="R76:X76"/>
    <mergeCell ref="B77:B78"/>
    <mergeCell ref="C77:C78"/>
    <mergeCell ref="D77:H77"/>
    <mergeCell ref="J77:J78"/>
    <mergeCell ref="K77:K78"/>
    <mergeCell ref="R77:R78"/>
    <mergeCell ref="S77:S78"/>
    <mergeCell ref="T77:X77"/>
    <mergeCell ref="B67:H67"/>
    <mergeCell ref="J67:P67"/>
    <mergeCell ref="R67:X67"/>
    <mergeCell ref="B68:B69"/>
    <mergeCell ref="C68:C69"/>
    <mergeCell ref="D68:H68"/>
    <mergeCell ref="J68:J69"/>
    <mergeCell ref="K68:K69"/>
    <mergeCell ref="R68:R69"/>
    <mergeCell ref="S68:S69"/>
    <mergeCell ref="T68:X68"/>
    <mergeCell ref="T59:X59"/>
    <mergeCell ref="B7:C8"/>
    <mergeCell ref="B31:C32"/>
    <mergeCell ref="B40:C41"/>
    <mergeCell ref="B58:H58"/>
    <mergeCell ref="J58:P58"/>
    <mergeCell ref="R58:X58"/>
    <mergeCell ref="B59:B60"/>
    <mergeCell ref="D59:H59"/>
    <mergeCell ref="L59:P59"/>
    <mergeCell ref="R59:R60"/>
    <mergeCell ref="S59:S60"/>
  </mergeCells>
  <phoneticPr fontId="1"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5FFFF"/>
    <pageSetUpPr fitToPage="1"/>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47" t="s">
        <v>94</v>
      </c>
      <c r="F1" s="44"/>
    </row>
    <row r="2" spans="1:11">
      <c r="A2" s="47"/>
    </row>
    <row r="3" spans="1:11">
      <c r="A3" s="47" t="s">
        <v>535</v>
      </c>
    </row>
    <row r="4" spans="1:11">
      <c r="A4" s="47"/>
    </row>
    <row r="6" spans="1:11" ht="13.5" thickBot="1"/>
    <row r="7" spans="1:11" ht="15" customHeight="1">
      <c r="B7" s="1589" t="s">
        <v>97</v>
      </c>
      <c r="C7" s="1590"/>
      <c r="D7" s="1590"/>
      <c r="E7" s="1591"/>
      <c r="F7" s="1598" t="s">
        <v>210</v>
      </c>
      <c r="G7" s="945" t="s">
        <v>536</v>
      </c>
      <c r="H7" s="946"/>
      <c r="I7" s="945" t="s">
        <v>537</v>
      </c>
      <c r="J7" s="946"/>
    </row>
    <row r="8" spans="1:11" ht="50.25" customHeight="1">
      <c r="B8" s="1592"/>
      <c r="C8" s="1593"/>
      <c r="D8" s="1593"/>
      <c r="E8" s="1594"/>
      <c r="F8" s="1599"/>
      <c r="G8" s="947" t="s">
        <v>538</v>
      </c>
      <c r="H8" s="948" t="s">
        <v>539</v>
      </c>
      <c r="I8" s="947" t="s">
        <v>538</v>
      </c>
      <c r="J8" s="948" t="s">
        <v>539</v>
      </c>
    </row>
    <row r="9" spans="1:11" ht="15" customHeight="1" thickBot="1">
      <c r="B9" s="1595"/>
      <c r="C9" s="1596"/>
      <c r="D9" s="1596"/>
      <c r="E9" s="1597"/>
      <c r="F9" s="1600"/>
      <c r="G9" s="949" t="s">
        <v>540</v>
      </c>
      <c r="H9" s="950" t="s">
        <v>540</v>
      </c>
      <c r="I9" s="949" t="s">
        <v>540</v>
      </c>
      <c r="J9" s="950" t="s">
        <v>540</v>
      </c>
    </row>
    <row r="10" spans="1:11" ht="15" customHeight="1">
      <c r="B10" s="951"/>
      <c r="C10" s="952" t="s">
        <v>109</v>
      </c>
      <c r="D10" s="952"/>
      <c r="E10" s="953"/>
      <c r="F10" s="954"/>
      <c r="G10" s="955"/>
      <c r="H10" s="956"/>
      <c r="I10" s="955"/>
      <c r="J10" s="956"/>
    </row>
    <row r="11" spans="1:11" ht="15" customHeight="1">
      <c r="B11" s="951"/>
      <c r="C11" s="953"/>
      <c r="D11" s="957" t="s">
        <v>454</v>
      </c>
      <c r="E11" s="953"/>
      <c r="F11" s="958"/>
      <c r="G11" s="959"/>
      <c r="H11" s="960"/>
      <c r="I11" s="959"/>
      <c r="J11" s="960"/>
    </row>
    <row r="12" spans="1:11" ht="15" customHeight="1">
      <c r="B12" s="961"/>
      <c r="C12" s="953"/>
      <c r="D12" s="953"/>
      <c r="E12" s="953" t="s">
        <v>111</v>
      </c>
      <c r="F12" s="962" t="s">
        <v>541</v>
      </c>
      <c r="G12" s="963">
        <v>18.97</v>
      </c>
      <c r="H12" s="964">
        <v>21.436099999999996</v>
      </c>
      <c r="I12" s="963">
        <v>25.029</v>
      </c>
      <c r="J12" s="964">
        <v>28.282769999999996</v>
      </c>
      <c r="K12" s="965"/>
    </row>
    <row r="13" spans="1:11" ht="15" customHeight="1">
      <c r="B13" s="961"/>
      <c r="C13" s="953"/>
      <c r="D13" s="953"/>
      <c r="E13" s="953" t="s">
        <v>112</v>
      </c>
      <c r="F13" s="962" t="s">
        <v>542</v>
      </c>
      <c r="G13" s="963">
        <v>0.65500000000000003</v>
      </c>
      <c r="H13" s="964">
        <v>0.74014999999999997</v>
      </c>
      <c r="I13" s="963">
        <v>0.89900000000000002</v>
      </c>
      <c r="J13" s="964">
        <v>1.0158699999999998</v>
      </c>
      <c r="K13" s="965"/>
    </row>
    <row r="14" spans="1:11" ht="15" customHeight="1">
      <c r="B14" s="961"/>
      <c r="C14" s="953"/>
      <c r="D14" s="953"/>
      <c r="E14" s="953"/>
      <c r="F14" s="962"/>
      <c r="G14" s="966"/>
      <c r="H14" s="967"/>
      <c r="I14" s="966"/>
      <c r="J14" s="967"/>
    </row>
    <row r="15" spans="1:11" ht="15" customHeight="1">
      <c r="B15" s="961"/>
      <c r="C15" s="953"/>
      <c r="D15" s="957" t="s">
        <v>113</v>
      </c>
      <c r="E15" s="953"/>
      <c r="F15" s="962"/>
      <c r="G15" s="966"/>
      <c r="H15" s="967"/>
      <c r="I15" s="966"/>
      <c r="J15" s="967"/>
    </row>
    <row r="16" spans="1:11" ht="15" customHeight="1">
      <c r="B16" s="961"/>
      <c r="C16" s="953"/>
      <c r="D16" s="953"/>
      <c r="E16" s="953" t="s">
        <v>114</v>
      </c>
      <c r="F16" s="962" t="s">
        <v>542</v>
      </c>
      <c r="G16" s="963">
        <v>0</v>
      </c>
      <c r="H16" s="964">
        <v>0</v>
      </c>
      <c r="I16" s="963">
        <v>2</v>
      </c>
      <c r="J16" s="964">
        <v>2.2599999999999998</v>
      </c>
      <c r="K16" s="965"/>
    </row>
    <row r="17" spans="2:11" ht="15" customHeight="1">
      <c r="B17" s="961"/>
      <c r="C17" s="953"/>
      <c r="D17" s="953"/>
      <c r="E17" s="953"/>
      <c r="F17" s="962"/>
      <c r="G17" s="966"/>
      <c r="H17" s="967"/>
      <c r="I17" s="966"/>
      <c r="J17" s="967"/>
    </row>
    <row r="18" spans="2:11" ht="15" customHeight="1">
      <c r="B18" s="961"/>
      <c r="C18" s="953"/>
      <c r="D18" s="957" t="s">
        <v>115</v>
      </c>
      <c r="E18" s="953"/>
      <c r="F18" s="962"/>
      <c r="G18" s="966"/>
      <c r="H18" s="967"/>
      <c r="I18" s="966"/>
      <c r="J18" s="967"/>
    </row>
    <row r="19" spans="2:11" ht="15" customHeight="1">
      <c r="B19" s="961"/>
      <c r="C19" s="953"/>
      <c r="D19" s="957"/>
      <c r="E19" s="953" t="s">
        <v>116</v>
      </c>
      <c r="F19" s="962" t="s">
        <v>541</v>
      </c>
      <c r="G19" s="963">
        <v>0</v>
      </c>
      <c r="H19" s="964">
        <v>0</v>
      </c>
      <c r="I19" s="963">
        <v>0</v>
      </c>
      <c r="J19" s="964">
        <v>0</v>
      </c>
      <c r="K19" s="965"/>
    </row>
    <row r="20" spans="2:11" ht="15" customHeight="1">
      <c r="B20" s="961"/>
      <c r="C20" s="953"/>
      <c r="D20" s="957"/>
      <c r="E20" s="953" t="s">
        <v>117</v>
      </c>
      <c r="F20" s="962" t="s">
        <v>541</v>
      </c>
      <c r="G20" s="963">
        <v>105</v>
      </c>
      <c r="H20" s="964">
        <v>118.65</v>
      </c>
      <c r="I20" s="963">
        <v>140.922</v>
      </c>
      <c r="J20" s="964">
        <v>159.24185999999997</v>
      </c>
      <c r="K20" s="965"/>
    </row>
    <row r="21" spans="2:11" ht="15" customHeight="1">
      <c r="B21" s="961"/>
      <c r="C21" s="953"/>
      <c r="D21" s="957"/>
      <c r="E21" s="953" t="s">
        <v>118</v>
      </c>
      <c r="F21" s="962" t="s">
        <v>541</v>
      </c>
      <c r="G21" s="963">
        <v>0</v>
      </c>
      <c r="H21" s="964">
        <v>0</v>
      </c>
      <c r="I21" s="963">
        <v>0</v>
      </c>
      <c r="J21" s="964">
        <v>0</v>
      </c>
      <c r="K21" s="965"/>
    </row>
    <row r="22" spans="2:11" ht="15" customHeight="1">
      <c r="B22" s="961"/>
      <c r="C22" s="953"/>
      <c r="D22" s="957"/>
      <c r="E22" s="953" t="s">
        <v>119</v>
      </c>
      <c r="F22" s="962" t="s">
        <v>542</v>
      </c>
      <c r="G22" s="963">
        <v>0.65</v>
      </c>
      <c r="H22" s="964">
        <v>0.73449999999999993</v>
      </c>
      <c r="I22" s="963">
        <v>1.3919999999999999</v>
      </c>
      <c r="J22" s="964">
        <v>1.5729599999999997</v>
      </c>
      <c r="K22" s="965"/>
    </row>
    <row r="23" spans="2:11" ht="15" customHeight="1">
      <c r="B23" s="961"/>
      <c r="C23" s="953"/>
      <c r="D23" s="953"/>
      <c r="E23" s="953"/>
      <c r="F23" s="962"/>
      <c r="G23" s="966"/>
      <c r="H23" s="967"/>
      <c r="I23" s="966"/>
      <c r="J23" s="967"/>
    </row>
    <row r="24" spans="2:11" ht="15" customHeight="1">
      <c r="B24" s="961"/>
      <c r="C24" s="953"/>
      <c r="D24" s="957" t="s">
        <v>120</v>
      </c>
      <c r="E24" s="953"/>
      <c r="F24" s="962"/>
      <c r="G24" s="966"/>
      <c r="H24" s="967"/>
      <c r="I24" s="966"/>
      <c r="J24" s="967"/>
    </row>
    <row r="25" spans="2:11" ht="15" customHeight="1">
      <c r="B25" s="961"/>
      <c r="C25" s="953"/>
      <c r="D25" s="957"/>
      <c r="E25" s="953" t="s">
        <v>121</v>
      </c>
      <c r="F25" s="962" t="s">
        <v>542</v>
      </c>
      <c r="G25" s="963">
        <v>4.8</v>
      </c>
      <c r="H25" s="964">
        <v>5.4239999999999995</v>
      </c>
      <c r="I25" s="963">
        <v>8.3000000000000007</v>
      </c>
      <c r="J25" s="964">
        <v>9.3789999999999996</v>
      </c>
      <c r="K25" s="965"/>
    </row>
    <row r="26" spans="2:11" ht="15" customHeight="1">
      <c r="B26" s="961"/>
      <c r="C26" s="953"/>
      <c r="D26" s="957"/>
      <c r="E26" s="953" t="s">
        <v>122</v>
      </c>
      <c r="F26" s="962" t="s">
        <v>542</v>
      </c>
      <c r="G26" s="963">
        <v>4.8</v>
      </c>
      <c r="H26" s="964">
        <v>5.4239999999999995</v>
      </c>
      <c r="I26" s="963">
        <v>8.6</v>
      </c>
      <c r="J26" s="964">
        <v>9.7179999999999982</v>
      </c>
      <c r="K26" s="965"/>
    </row>
    <row r="27" spans="2:11" ht="15" customHeight="1">
      <c r="B27" s="961"/>
      <c r="C27" s="953"/>
      <c r="D27" s="957"/>
      <c r="E27" s="953" t="s">
        <v>123</v>
      </c>
      <c r="F27" s="962" t="s">
        <v>542</v>
      </c>
      <c r="G27" s="963">
        <v>9.0145999999999997</v>
      </c>
      <c r="H27" s="964">
        <v>10.186497999999998</v>
      </c>
      <c r="I27" s="963">
        <v>10.6</v>
      </c>
      <c r="J27" s="964">
        <v>11.977999999999998</v>
      </c>
      <c r="K27" s="965"/>
    </row>
    <row r="28" spans="2:11" ht="15" customHeight="1">
      <c r="B28" s="961"/>
      <c r="C28" s="953"/>
      <c r="D28" s="957"/>
      <c r="E28" s="953" t="s">
        <v>124</v>
      </c>
      <c r="F28" s="962" t="s">
        <v>542</v>
      </c>
      <c r="G28" s="963">
        <v>3.5409999999999999</v>
      </c>
      <c r="H28" s="964">
        <v>4.0013299999999994</v>
      </c>
      <c r="I28" s="963">
        <v>4.6399999999999997</v>
      </c>
      <c r="J28" s="964">
        <v>5.243199999999999</v>
      </c>
      <c r="K28" s="965"/>
    </row>
    <row r="29" spans="2:11" ht="15" customHeight="1">
      <c r="B29" s="961"/>
      <c r="C29" s="953"/>
      <c r="D29" s="957"/>
      <c r="E29" s="953" t="s">
        <v>125</v>
      </c>
      <c r="F29" s="962" t="s">
        <v>542</v>
      </c>
      <c r="G29" s="968"/>
      <c r="H29" s="969"/>
      <c r="I29" s="968"/>
      <c r="J29" s="969"/>
    </row>
    <row r="30" spans="2:11" ht="15" customHeight="1">
      <c r="B30" s="961"/>
      <c r="C30" s="953"/>
      <c r="D30" s="957"/>
      <c r="E30" s="953" t="s">
        <v>126</v>
      </c>
      <c r="F30" s="962" t="s">
        <v>542</v>
      </c>
      <c r="G30" s="968"/>
      <c r="H30" s="969"/>
      <c r="I30" s="968"/>
      <c r="J30" s="969"/>
    </row>
    <row r="31" spans="2:11" ht="15" customHeight="1" thickBot="1">
      <c r="B31" s="970"/>
      <c r="C31" s="971"/>
      <c r="D31" s="971"/>
      <c r="E31" s="971"/>
      <c r="F31" s="972"/>
      <c r="G31" s="973"/>
      <c r="H31" s="974"/>
      <c r="I31" s="973"/>
      <c r="J31" s="974"/>
    </row>
    <row r="32" spans="2:11" ht="15" customHeight="1">
      <c r="B32" s="975"/>
      <c r="C32" s="976" t="s">
        <v>127</v>
      </c>
      <c r="D32" s="976"/>
      <c r="E32" s="977"/>
      <c r="F32" s="978"/>
      <c r="G32" s="966"/>
      <c r="H32" s="967"/>
      <c r="I32" s="966"/>
      <c r="J32" s="967"/>
    </row>
    <row r="33" spans="2:11" ht="15" customHeight="1">
      <c r="B33" s="961"/>
      <c r="C33" s="953"/>
      <c r="D33" s="957" t="s">
        <v>454</v>
      </c>
      <c r="E33" s="953"/>
      <c r="F33" s="978"/>
      <c r="G33" s="966"/>
      <c r="H33" s="967"/>
      <c r="I33" s="966"/>
      <c r="J33" s="967"/>
    </row>
    <row r="34" spans="2:11" ht="15" customHeight="1">
      <c r="B34" s="961"/>
      <c r="C34" s="953"/>
      <c r="D34" s="957"/>
      <c r="E34" s="953" t="s">
        <v>128</v>
      </c>
      <c r="F34" s="962" t="s">
        <v>541</v>
      </c>
      <c r="G34" s="963">
        <v>25.3</v>
      </c>
      <c r="H34" s="964">
        <v>28.588999999999999</v>
      </c>
      <c r="I34" s="963">
        <v>31.2</v>
      </c>
      <c r="J34" s="964">
        <v>35.255999999999993</v>
      </c>
      <c r="K34" s="965"/>
    </row>
    <row r="35" spans="2:11" ht="15" customHeight="1">
      <c r="B35" s="961"/>
      <c r="C35" s="953"/>
      <c r="D35" s="957"/>
      <c r="E35" s="953" t="s">
        <v>129</v>
      </c>
      <c r="F35" s="962" t="s">
        <v>541</v>
      </c>
      <c r="G35" s="963">
        <v>0</v>
      </c>
      <c r="H35" s="964">
        <v>0</v>
      </c>
      <c r="I35" s="963">
        <v>0</v>
      </c>
      <c r="J35" s="964">
        <v>0</v>
      </c>
      <c r="K35" s="965"/>
    </row>
    <row r="36" spans="2:11" ht="15" customHeight="1">
      <c r="B36" s="961"/>
      <c r="C36" s="953"/>
      <c r="D36" s="953"/>
      <c r="E36" s="953" t="s">
        <v>130</v>
      </c>
      <c r="F36" s="962" t="s">
        <v>541</v>
      </c>
      <c r="G36" s="963">
        <v>25.5</v>
      </c>
      <c r="H36" s="964">
        <v>28.815000000000001</v>
      </c>
      <c r="I36" s="963">
        <v>31.5</v>
      </c>
      <c r="J36" s="964">
        <v>35.594999999999999</v>
      </c>
      <c r="K36" s="965"/>
    </row>
    <row r="37" spans="2:11" ht="15" customHeight="1">
      <c r="B37" s="961"/>
      <c r="C37" s="953"/>
      <c r="D37" s="953"/>
      <c r="E37" s="953" t="s">
        <v>131</v>
      </c>
      <c r="F37" s="962" t="s">
        <v>541</v>
      </c>
      <c r="G37" s="963">
        <v>0</v>
      </c>
      <c r="H37" s="964">
        <v>0</v>
      </c>
      <c r="I37" s="963">
        <v>0</v>
      </c>
      <c r="J37" s="964">
        <v>0</v>
      </c>
      <c r="K37" s="965"/>
    </row>
    <row r="38" spans="2:11" ht="15" customHeight="1">
      <c r="B38" s="961"/>
      <c r="C38" s="953"/>
      <c r="D38" s="953"/>
      <c r="E38" s="953"/>
      <c r="F38" s="962"/>
      <c r="G38" s="966"/>
      <c r="H38" s="967"/>
      <c r="I38" s="966"/>
      <c r="J38" s="967"/>
    </row>
    <row r="39" spans="2:11" ht="15" customHeight="1">
      <c r="B39" s="961"/>
      <c r="C39" s="953"/>
      <c r="D39" s="957" t="s">
        <v>113</v>
      </c>
      <c r="E39" s="953"/>
      <c r="F39" s="962"/>
      <c r="G39" s="966"/>
      <c r="H39" s="967"/>
      <c r="I39" s="966"/>
      <c r="J39" s="967"/>
    </row>
    <row r="40" spans="2:11" ht="15" customHeight="1">
      <c r="B40" s="961"/>
      <c r="C40" s="953"/>
      <c r="D40" s="977"/>
      <c r="E40" s="953" t="s">
        <v>132</v>
      </c>
      <c r="F40" s="962" t="s">
        <v>542</v>
      </c>
      <c r="G40" s="963">
        <v>0</v>
      </c>
      <c r="H40" s="964">
        <v>0</v>
      </c>
      <c r="I40" s="963">
        <v>2.0034549999999998</v>
      </c>
      <c r="J40" s="964">
        <v>2.2639041499999997</v>
      </c>
      <c r="K40" s="965"/>
    </row>
    <row r="41" spans="2:11" ht="15" customHeight="1">
      <c r="B41" s="961"/>
      <c r="C41" s="953"/>
      <c r="D41" s="957"/>
      <c r="E41" s="953" t="s">
        <v>133</v>
      </c>
      <c r="F41" s="962" t="s">
        <v>542</v>
      </c>
      <c r="G41" s="963">
        <v>0</v>
      </c>
      <c r="H41" s="964">
        <v>0</v>
      </c>
      <c r="I41" s="963">
        <v>2.0034549999999998</v>
      </c>
      <c r="J41" s="964">
        <v>2.2639041499999997</v>
      </c>
      <c r="K41" s="965"/>
    </row>
    <row r="42" spans="2:11" ht="15" customHeight="1">
      <c r="B42" s="961"/>
      <c r="C42" s="953"/>
      <c r="D42" s="953"/>
      <c r="E42" s="953"/>
      <c r="F42" s="962"/>
      <c r="G42" s="966"/>
      <c r="H42" s="967"/>
      <c r="I42" s="966"/>
      <c r="J42" s="967"/>
    </row>
    <row r="43" spans="2:11" ht="15" customHeight="1">
      <c r="B43" s="961"/>
      <c r="C43" s="953"/>
      <c r="D43" s="957" t="s">
        <v>134</v>
      </c>
      <c r="E43" s="953"/>
      <c r="F43" s="962"/>
      <c r="G43" s="966"/>
      <c r="H43" s="967"/>
      <c r="I43" s="966"/>
      <c r="J43" s="967"/>
    </row>
    <row r="44" spans="2:11" ht="15" customHeight="1">
      <c r="B44" s="961"/>
      <c r="C44" s="953"/>
      <c r="D44" s="957"/>
      <c r="E44" s="953" t="s">
        <v>135</v>
      </c>
      <c r="F44" s="962" t="s">
        <v>541</v>
      </c>
      <c r="G44" s="963">
        <v>56.804569999999998</v>
      </c>
      <c r="H44" s="964">
        <v>64.189164099999985</v>
      </c>
      <c r="I44" s="963">
        <v>73.5</v>
      </c>
      <c r="J44" s="964">
        <v>83.055000000000007</v>
      </c>
      <c r="K44" s="965"/>
    </row>
    <row r="45" spans="2:11" ht="15" customHeight="1">
      <c r="B45" s="961"/>
      <c r="C45" s="953"/>
      <c r="D45" s="957"/>
      <c r="E45" s="953" t="s">
        <v>136</v>
      </c>
      <c r="F45" s="962" t="s">
        <v>541</v>
      </c>
      <c r="G45" s="963">
        <v>56.8</v>
      </c>
      <c r="H45" s="964">
        <v>64.183999999999997</v>
      </c>
      <c r="I45" s="963">
        <v>73.5</v>
      </c>
      <c r="J45" s="964">
        <v>83.055000000000007</v>
      </c>
      <c r="K45" s="965"/>
    </row>
    <row r="46" spans="2:11" ht="15" customHeight="1">
      <c r="B46" s="961"/>
      <c r="C46" s="953"/>
      <c r="D46" s="957"/>
      <c r="E46" s="953"/>
      <c r="F46" s="962"/>
      <c r="G46" s="966"/>
      <c r="H46" s="967"/>
      <c r="I46" s="966"/>
      <c r="J46" s="967"/>
    </row>
    <row r="47" spans="2:11" ht="15" customHeight="1">
      <c r="B47" s="961"/>
      <c r="C47" s="953"/>
      <c r="D47" s="957" t="s">
        <v>137</v>
      </c>
      <c r="E47" s="953"/>
      <c r="F47" s="962"/>
      <c r="G47" s="966"/>
      <c r="H47" s="967"/>
      <c r="I47" s="966"/>
      <c r="J47" s="967"/>
    </row>
    <row r="48" spans="2:11" ht="15" customHeight="1">
      <c r="B48" s="961"/>
      <c r="C48" s="953"/>
      <c r="D48" s="957"/>
      <c r="E48" s="953" t="s">
        <v>138</v>
      </c>
      <c r="F48" s="962" t="s">
        <v>541</v>
      </c>
      <c r="G48" s="963">
        <v>0</v>
      </c>
      <c r="H48" s="964">
        <v>0</v>
      </c>
      <c r="I48" s="963">
        <v>0</v>
      </c>
      <c r="J48" s="964">
        <v>0</v>
      </c>
      <c r="K48" s="965"/>
    </row>
    <row r="49" spans="2:11" ht="15" customHeight="1">
      <c r="B49" s="961"/>
      <c r="C49" s="953"/>
      <c r="D49" s="957"/>
      <c r="E49" s="953"/>
      <c r="F49" s="962"/>
      <c r="G49" s="966"/>
      <c r="H49" s="967"/>
      <c r="I49" s="966"/>
      <c r="J49" s="967"/>
    </row>
    <row r="50" spans="2:11" ht="15" customHeight="1">
      <c r="B50" s="961"/>
      <c r="C50" s="953"/>
      <c r="D50" s="957" t="s">
        <v>120</v>
      </c>
      <c r="E50" s="953"/>
      <c r="F50" s="962"/>
      <c r="G50" s="966"/>
      <c r="H50" s="967"/>
      <c r="I50" s="966"/>
      <c r="J50" s="967"/>
    </row>
    <row r="51" spans="2:11" ht="15" customHeight="1">
      <c r="B51" s="961"/>
      <c r="C51" s="953"/>
      <c r="D51" s="957"/>
      <c r="E51" s="953" t="s">
        <v>139</v>
      </c>
      <c r="F51" s="962" t="s">
        <v>542</v>
      </c>
      <c r="G51" s="963">
        <v>8.9589999999999996</v>
      </c>
      <c r="H51" s="964">
        <v>10.123669999999999</v>
      </c>
      <c r="I51" s="963">
        <v>8.3879999999999999</v>
      </c>
      <c r="J51" s="964">
        <v>9.4784399999999991</v>
      </c>
      <c r="K51" s="965"/>
    </row>
    <row r="52" spans="2:11" ht="15" customHeight="1">
      <c r="B52" s="961"/>
      <c r="C52" s="953"/>
      <c r="D52" s="957"/>
      <c r="E52" s="953" t="s">
        <v>140</v>
      </c>
      <c r="F52" s="962" t="s">
        <v>542</v>
      </c>
      <c r="G52" s="963">
        <v>5.9</v>
      </c>
      <c r="H52" s="964">
        <v>6.6669999999999998</v>
      </c>
      <c r="I52" s="963">
        <v>11.026399999999999</v>
      </c>
      <c r="J52" s="964">
        <v>12.459831999999997</v>
      </c>
      <c r="K52" s="965"/>
    </row>
    <row r="53" spans="2:11" ht="15" customHeight="1">
      <c r="B53" s="961"/>
      <c r="C53" s="953"/>
      <c r="D53" s="957"/>
      <c r="E53" s="953" t="s">
        <v>141</v>
      </c>
      <c r="F53" s="962" t="s">
        <v>542</v>
      </c>
      <c r="G53" s="963">
        <v>0</v>
      </c>
      <c r="H53" s="964">
        <v>0</v>
      </c>
      <c r="I53" s="963">
        <v>0</v>
      </c>
      <c r="J53" s="964">
        <v>0</v>
      </c>
      <c r="K53" s="965"/>
    </row>
    <row r="54" spans="2:11" ht="15" customHeight="1">
      <c r="B54" s="961"/>
      <c r="C54" s="953"/>
      <c r="D54" s="957"/>
      <c r="E54" s="953" t="s">
        <v>142</v>
      </c>
      <c r="F54" s="962" t="s">
        <v>542</v>
      </c>
      <c r="G54" s="963">
        <v>5.0999999999999996</v>
      </c>
      <c r="H54" s="964">
        <v>5.762999999999999</v>
      </c>
      <c r="I54" s="963">
        <v>9</v>
      </c>
      <c r="J54" s="964">
        <v>10.17</v>
      </c>
      <c r="K54" s="965"/>
    </row>
    <row r="55" spans="2:11" ht="15" customHeight="1">
      <c r="B55" s="961"/>
      <c r="C55" s="953"/>
      <c r="D55" s="957"/>
      <c r="E55" s="953" t="s">
        <v>143</v>
      </c>
      <c r="F55" s="962" t="s">
        <v>542</v>
      </c>
      <c r="G55" s="963">
        <v>7.57</v>
      </c>
      <c r="H55" s="964">
        <v>8.5541</v>
      </c>
      <c r="I55" s="963">
        <v>13.5</v>
      </c>
      <c r="J55" s="964">
        <v>15.255000000000001</v>
      </c>
      <c r="K55" s="965"/>
    </row>
    <row r="56" spans="2:11" ht="15" customHeight="1">
      <c r="B56" s="961"/>
      <c r="C56" s="953"/>
      <c r="D56" s="957"/>
      <c r="E56" s="953" t="s">
        <v>144</v>
      </c>
      <c r="F56" s="962" t="s">
        <v>542</v>
      </c>
      <c r="G56" s="968"/>
      <c r="H56" s="969"/>
      <c r="I56" s="968"/>
      <c r="J56" s="969"/>
    </row>
    <row r="57" spans="2:11" ht="15" customHeight="1">
      <c r="B57" s="961"/>
      <c r="C57" s="953"/>
      <c r="D57" s="957"/>
      <c r="E57" s="953" t="s">
        <v>145</v>
      </c>
      <c r="F57" s="962" t="s">
        <v>542</v>
      </c>
      <c r="G57" s="968"/>
      <c r="H57" s="969"/>
      <c r="I57" s="968"/>
      <c r="J57" s="969"/>
    </row>
    <row r="58" spans="2:11" ht="15" customHeight="1">
      <c r="B58" s="961"/>
      <c r="C58" s="953"/>
      <c r="D58" s="953"/>
      <c r="E58" s="953" t="s">
        <v>146</v>
      </c>
      <c r="F58" s="962" t="s">
        <v>542</v>
      </c>
      <c r="G58" s="963">
        <v>10.302849999999999</v>
      </c>
      <c r="H58" s="964">
        <v>11.642220499999999</v>
      </c>
      <c r="I58" s="963">
        <v>8.3879999999999999</v>
      </c>
      <c r="J58" s="964">
        <v>9.4784399999999991</v>
      </c>
      <c r="K58" s="965"/>
    </row>
    <row r="59" spans="2:11" ht="15" customHeight="1">
      <c r="B59" s="961"/>
      <c r="C59" s="953"/>
      <c r="D59" s="953"/>
      <c r="E59" s="953" t="s">
        <v>147</v>
      </c>
      <c r="F59" s="962" t="s">
        <v>542</v>
      </c>
      <c r="G59" s="963">
        <v>7</v>
      </c>
      <c r="H59" s="964">
        <v>7.91</v>
      </c>
      <c r="I59" s="963">
        <v>12</v>
      </c>
      <c r="J59" s="964">
        <v>13.56</v>
      </c>
      <c r="K59" s="965"/>
    </row>
    <row r="60" spans="2:11" ht="15" customHeight="1">
      <c r="B60" s="961"/>
      <c r="C60" s="953"/>
      <c r="D60" s="957"/>
      <c r="E60" s="953" t="s">
        <v>148</v>
      </c>
      <c r="F60" s="962" t="s">
        <v>542</v>
      </c>
      <c r="G60" s="963">
        <v>0</v>
      </c>
      <c r="H60" s="964">
        <v>0</v>
      </c>
      <c r="I60" s="963">
        <v>0</v>
      </c>
      <c r="J60" s="964">
        <v>0</v>
      </c>
      <c r="K60" s="965"/>
    </row>
    <row r="61" spans="2:11" ht="15" customHeight="1">
      <c r="B61" s="961"/>
      <c r="C61" s="953"/>
      <c r="D61" s="957"/>
      <c r="E61" s="953" t="s">
        <v>149</v>
      </c>
      <c r="F61" s="962" t="s">
        <v>542</v>
      </c>
      <c r="G61" s="963">
        <v>5.8650000000000002</v>
      </c>
      <c r="H61" s="964">
        <v>6.6274499999999996</v>
      </c>
      <c r="I61" s="963">
        <v>10.1</v>
      </c>
      <c r="J61" s="964">
        <v>11.412999999999998</v>
      </c>
      <c r="K61" s="965"/>
    </row>
    <row r="62" spans="2:11" ht="15" customHeight="1">
      <c r="B62" s="961"/>
      <c r="C62" s="953"/>
      <c r="D62" s="957"/>
      <c r="E62" s="953" t="s">
        <v>150</v>
      </c>
      <c r="F62" s="962" t="s">
        <v>542</v>
      </c>
      <c r="G62" s="963">
        <v>8.7054999999999989</v>
      </c>
      <c r="H62" s="964">
        <v>9.8372149999999987</v>
      </c>
      <c r="I62" s="963">
        <v>14.536199999999999</v>
      </c>
      <c r="J62" s="964">
        <v>16.425905999999998</v>
      </c>
      <c r="K62" s="965"/>
    </row>
    <row r="63" spans="2:11" ht="15" customHeight="1">
      <c r="B63" s="961"/>
      <c r="C63" s="953"/>
      <c r="D63" s="957"/>
      <c r="E63" s="953" t="s">
        <v>151</v>
      </c>
      <c r="F63" s="962" t="s">
        <v>542</v>
      </c>
      <c r="G63" s="968"/>
      <c r="H63" s="969"/>
      <c r="I63" s="968"/>
      <c r="J63" s="969"/>
    </row>
    <row r="64" spans="2:11" ht="15" customHeight="1">
      <c r="B64" s="961"/>
      <c r="C64" s="953"/>
      <c r="D64" s="957"/>
      <c r="E64" s="953" t="s">
        <v>152</v>
      </c>
      <c r="F64" s="962" t="s">
        <v>542</v>
      </c>
      <c r="G64" s="968"/>
      <c r="H64" s="969"/>
      <c r="I64" s="968"/>
      <c r="J64" s="969"/>
    </row>
    <row r="65" spans="2:11" ht="15" customHeight="1">
      <c r="B65" s="961"/>
      <c r="C65" s="953"/>
      <c r="D65" s="957"/>
      <c r="E65" s="953"/>
      <c r="F65" s="978"/>
      <c r="G65" s="966"/>
      <c r="H65" s="967"/>
      <c r="I65" s="966"/>
      <c r="J65" s="967"/>
    </row>
    <row r="66" spans="2:11" ht="15" customHeight="1">
      <c r="B66" s="961"/>
      <c r="C66" s="953"/>
      <c r="D66" s="957" t="s">
        <v>153</v>
      </c>
      <c r="E66" s="953"/>
      <c r="F66" s="978"/>
      <c r="G66" s="966"/>
      <c r="H66" s="967"/>
      <c r="I66" s="966"/>
      <c r="J66" s="967"/>
    </row>
    <row r="67" spans="2:11" ht="15" customHeight="1">
      <c r="B67" s="961"/>
      <c r="C67" s="953"/>
      <c r="D67" s="957"/>
      <c r="E67" s="953" t="s">
        <v>154</v>
      </c>
      <c r="F67" s="962" t="s">
        <v>542</v>
      </c>
      <c r="G67" s="963">
        <v>3.5419999999999998</v>
      </c>
      <c r="H67" s="964">
        <v>4.0024599999999992</v>
      </c>
      <c r="I67" s="963">
        <v>4.633</v>
      </c>
      <c r="J67" s="964">
        <v>5.2352899999999991</v>
      </c>
      <c r="K67" s="965"/>
    </row>
    <row r="68" spans="2:11" ht="15" customHeight="1">
      <c r="B68" s="961"/>
      <c r="C68" s="953"/>
      <c r="D68" s="957"/>
      <c r="E68" s="953" t="s">
        <v>155</v>
      </c>
      <c r="F68" s="962" t="s">
        <v>542</v>
      </c>
      <c r="G68" s="963">
        <v>8.2260000000000009</v>
      </c>
      <c r="H68" s="964">
        <v>9.2953799999999998</v>
      </c>
      <c r="I68" s="963">
        <v>11.6214</v>
      </c>
      <c r="J68" s="964">
        <v>13.132181999999998</v>
      </c>
      <c r="K68" s="965"/>
    </row>
    <row r="69" spans="2:11" ht="15" customHeight="1">
      <c r="B69" s="961"/>
      <c r="C69" s="953"/>
      <c r="D69" s="957"/>
      <c r="E69" s="953" t="s">
        <v>156</v>
      </c>
      <c r="F69" s="962" t="s">
        <v>542</v>
      </c>
      <c r="G69" s="963">
        <v>3.9239999999999999</v>
      </c>
      <c r="H69" s="964">
        <v>4.4341199999999992</v>
      </c>
      <c r="I69" s="963">
        <v>5.0149999999999997</v>
      </c>
      <c r="J69" s="964">
        <v>5.666949999999999</v>
      </c>
      <c r="K69" s="965"/>
    </row>
    <row r="70" spans="2:11" ht="15" customHeight="1">
      <c r="B70" s="961"/>
      <c r="C70" s="953"/>
      <c r="D70" s="957"/>
      <c r="E70" s="953" t="s">
        <v>157</v>
      </c>
      <c r="F70" s="962" t="s">
        <v>542</v>
      </c>
      <c r="G70" s="963">
        <v>8.6579999999999995</v>
      </c>
      <c r="H70" s="964">
        <v>9.7835399999999986</v>
      </c>
      <c r="I70" s="963">
        <v>12.331199999999999</v>
      </c>
      <c r="J70" s="964">
        <v>13.934255999999998</v>
      </c>
      <c r="K70" s="965"/>
    </row>
    <row r="71" spans="2:11" ht="15" customHeight="1" thickBot="1">
      <c r="B71" s="970"/>
      <c r="C71" s="971"/>
      <c r="D71" s="971"/>
      <c r="E71" s="971"/>
      <c r="F71" s="972"/>
      <c r="G71" s="973"/>
      <c r="H71" s="974"/>
      <c r="I71" s="973"/>
      <c r="J71" s="974"/>
    </row>
    <row r="72" spans="2:11" ht="15" customHeight="1">
      <c r="B72" s="975"/>
      <c r="C72" s="976" t="s">
        <v>158</v>
      </c>
      <c r="D72" s="976"/>
      <c r="E72" s="977"/>
      <c r="F72" s="978"/>
      <c r="G72" s="966"/>
      <c r="H72" s="967"/>
      <c r="I72" s="966"/>
      <c r="J72" s="967"/>
    </row>
    <row r="73" spans="2:11" ht="15" customHeight="1">
      <c r="B73" s="961"/>
      <c r="C73" s="953"/>
      <c r="D73" s="957" t="s">
        <v>454</v>
      </c>
      <c r="E73" s="953"/>
      <c r="F73" s="962"/>
      <c r="G73" s="966"/>
      <c r="H73" s="967"/>
      <c r="I73" s="966"/>
      <c r="J73" s="967"/>
    </row>
    <row r="74" spans="2:11" ht="15" customHeight="1">
      <c r="B74" s="961"/>
      <c r="C74" s="953"/>
      <c r="D74" s="953"/>
      <c r="E74" s="953" t="s">
        <v>159</v>
      </c>
      <c r="F74" s="962" t="s">
        <v>541</v>
      </c>
      <c r="G74" s="963">
        <v>90</v>
      </c>
      <c r="H74" s="964">
        <v>101.7</v>
      </c>
      <c r="I74" s="963">
        <v>90</v>
      </c>
      <c r="J74" s="964">
        <v>101.7</v>
      </c>
      <c r="K74" s="965"/>
    </row>
    <row r="75" spans="2:11" ht="15" customHeight="1">
      <c r="B75" s="961"/>
      <c r="C75" s="953"/>
      <c r="D75" s="957"/>
      <c r="E75" s="953" t="s">
        <v>160</v>
      </c>
      <c r="F75" s="962" t="s">
        <v>541</v>
      </c>
      <c r="G75" s="963">
        <v>0</v>
      </c>
      <c r="H75" s="964">
        <v>0</v>
      </c>
      <c r="I75" s="963">
        <v>0</v>
      </c>
      <c r="J75" s="964">
        <v>0</v>
      </c>
      <c r="K75" s="965"/>
    </row>
    <row r="76" spans="2:11" ht="15" customHeight="1">
      <c r="B76" s="961"/>
      <c r="C76" s="953"/>
      <c r="D76" s="957"/>
      <c r="E76" s="953" t="s">
        <v>161</v>
      </c>
      <c r="F76" s="962" t="s">
        <v>541</v>
      </c>
      <c r="G76" s="963">
        <v>90</v>
      </c>
      <c r="H76" s="964">
        <v>101.7</v>
      </c>
      <c r="I76" s="963">
        <v>90</v>
      </c>
      <c r="J76" s="964">
        <v>101.7</v>
      </c>
      <c r="K76" s="965"/>
    </row>
    <row r="77" spans="2:11" ht="15" customHeight="1">
      <c r="B77" s="961"/>
      <c r="C77" s="953"/>
      <c r="D77" s="957"/>
      <c r="E77" s="953" t="s">
        <v>162</v>
      </c>
      <c r="F77" s="962" t="s">
        <v>541</v>
      </c>
      <c r="G77" s="963">
        <v>90</v>
      </c>
      <c r="H77" s="964">
        <v>101.7</v>
      </c>
      <c r="I77" s="963">
        <v>90</v>
      </c>
      <c r="J77" s="964">
        <v>101.7</v>
      </c>
      <c r="K77" s="965"/>
    </row>
    <row r="78" spans="2:11" ht="15" customHeight="1">
      <c r="B78" s="961"/>
      <c r="C78" s="953"/>
      <c r="D78" s="957"/>
      <c r="E78" s="953"/>
      <c r="F78" s="962"/>
      <c r="G78" s="966"/>
      <c r="H78" s="967"/>
      <c r="I78" s="966"/>
      <c r="J78" s="967"/>
    </row>
    <row r="79" spans="2:11" ht="15" customHeight="1">
      <c r="B79" s="961"/>
      <c r="C79" s="953"/>
      <c r="D79" s="957" t="s">
        <v>113</v>
      </c>
      <c r="E79" s="953"/>
      <c r="F79" s="962"/>
      <c r="G79" s="966"/>
      <c r="H79" s="967"/>
      <c r="I79" s="966"/>
      <c r="J79" s="967"/>
    </row>
    <row r="80" spans="2:11" ht="15" customHeight="1">
      <c r="B80" s="961"/>
      <c r="C80" s="953"/>
      <c r="D80" s="953"/>
      <c r="E80" s="953" t="s">
        <v>163</v>
      </c>
      <c r="F80" s="962" t="s">
        <v>542</v>
      </c>
      <c r="G80" s="963">
        <v>0</v>
      </c>
      <c r="H80" s="964">
        <v>0</v>
      </c>
      <c r="I80" s="963">
        <v>2.2107317449999999</v>
      </c>
      <c r="J80" s="964">
        <v>2.4981268718499998</v>
      </c>
      <c r="K80" s="965"/>
    </row>
    <row r="81" spans="2:11" ht="15" customHeight="1">
      <c r="B81" s="961"/>
      <c r="C81" s="953"/>
      <c r="D81" s="953"/>
      <c r="E81" s="953" t="s">
        <v>164</v>
      </c>
      <c r="F81" s="962" t="s">
        <v>542</v>
      </c>
      <c r="G81" s="963">
        <v>0</v>
      </c>
      <c r="H81" s="964">
        <v>0</v>
      </c>
      <c r="I81" s="963">
        <v>0</v>
      </c>
      <c r="J81" s="964">
        <v>0</v>
      </c>
      <c r="K81" s="965"/>
    </row>
    <row r="82" spans="2:11" ht="15" customHeight="1">
      <c r="B82" s="961"/>
      <c r="C82" s="953"/>
      <c r="D82" s="957"/>
      <c r="E82" s="953" t="s">
        <v>165</v>
      </c>
      <c r="F82" s="962" t="s">
        <v>542</v>
      </c>
      <c r="G82" s="963">
        <v>0</v>
      </c>
      <c r="H82" s="964">
        <v>0</v>
      </c>
      <c r="I82" s="963">
        <v>2.2107317449999999</v>
      </c>
      <c r="J82" s="964">
        <v>2.4981268718499998</v>
      </c>
      <c r="K82" s="965"/>
    </row>
    <row r="83" spans="2:11" ht="15" customHeight="1">
      <c r="B83" s="961"/>
      <c r="C83" s="953"/>
      <c r="D83" s="957"/>
      <c r="E83" s="953" t="s">
        <v>166</v>
      </c>
      <c r="F83" s="962" t="s">
        <v>542</v>
      </c>
      <c r="G83" s="963">
        <v>0</v>
      </c>
      <c r="H83" s="964">
        <v>0</v>
      </c>
      <c r="I83" s="963">
        <v>0</v>
      </c>
      <c r="J83" s="964">
        <v>0</v>
      </c>
      <c r="K83" s="965"/>
    </row>
    <row r="84" spans="2:11" ht="15" customHeight="1">
      <c r="B84" s="961"/>
      <c r="C84" s="953"/>
      <c r="D84" s="953"/>
      <c r="E84" s="953"/>
      <c r="F84" s="962"/>
      <c r="G84" s="966"/>
      <c r="H84" s="967"/>
      <c r="I84" s="966"/>
      <c r="J84" s="967"/>
    </row>
    <row r="85" spans="2:11" ht="15" customHeight="1">
      <c r="B85" s="951"/>
      <c r="C85" s="953"/>
      <c r="D85" s="957" t="s">
        <v>134</v>
      </c>
      <c r="E85" s="953"/>
      <c r="F85" s="962"/>
      <c r="G85" s="966"/>
      <c r="H85" s="967"/>
      <c r="I85" s="966"/>
      <c r="J85" s="967"/>
    </row>
    <row r="86" spans="2:11" ht="15" customHeight="1">
      <c r="B86" s="951"/>
      <c r="C86" s="953"/>
      <c r="D86" s="957"/>
      <c r="E86" s="953" t="s">
        <v>167</v>
      </c>
      <c r="F86" s="962" t="s">
        <v>541</v>
      </c>
      <c r="G86" s="963">
        <v>265</v>
      </c>
      <c r="H86" s="964">
        <v>299.45</v>
      </c>
      <c r="I86" s="963">
        <v>265</v>
      </c>
      <c r="J86" s="964">
        <v>299.45</v>
      </c>
      <c r="K86" s="965"/>
    </row>
    <row r="87" spans="2:11" ht="15" customHeight="1">
      <c r="B87" s="951"/>
      <c r="C87" s="953"/>
      <c r="D87" s="957"/>
      <c r="E87" s="953" t="s">
        <v>168</v>
      </c>
      <c r="F87" s="962" t="s">
        <v>541</v>
      </c>
      <c r="G87" s="963">
        <v>0</v>
      </c>
      <c r="H87" s="964">
        <v>0</v>
      </c>
      <c r="I87" s="963">
        <v>0</v>
      </c>
      <c r="J87" s="964">
        <v>0</v>
      </c>
      <c r="K87" s="965"/>
    </row>
    <row r="88" spans="2:11" ht="15" customHeight="1">
      <c r="B88" s="951"/>
      <c r="C88" s="953"/>
      <c r="D88" s="957"/>
      <c r="E88" s="953" t="s">
        <v>169</v>
      </c>
      <c r="F88" s="962" t="s">
        <v>541</v>
      </c>
      <c r="G88" s="963">
        <v>0</v>
      </c>
      <c r="H88" s="964">
        <v>0</v>
      </c>
      <c r="I88" s="963">
        <v>0</v>
      </c>
      <c r="J88" s="964">
        <v>0</v>
      </c>
      <c r="K88" s="965"/>
    </row>
    <row r="89" spans="2:11" ht="15" customHeight="1">
      <c r="B89" s="951"/>
      <c r="C89" s="953"/>
      <c r="D89" s="957"/>
      <c r="E89" s="953" t="s">
        <v>170</v>
      </c>
      <c r="F89" s="962" t="s">
        <v>541</v>
      </c>
      <c r="G89" s="963">
        <v>300</v>
      </c>
      <c r="H89" s="964">
        <v>339</v>
      </c>
      <c r="I89" s="963">
        <v>300</v>
      </c>
      <c r="J89" s="964">
        <v>339</v>
      </c>
      <c r="K89" s="965"/>
    </row>
    <row r="90" spans="2:11" ht="15" customHeight="1">
      <c r="B90" s="951"/>
      <c r="C90" s="953"/>
      <c r="D90" s="957"/>
      <c r="E90" s="953" t="s">
        <v>171</v>
      </c>
      <c r="F90" s="962" t="s">
        <v>541</v>
      </c>
      <c r="G90" s="963">
        <v>0</v>
      </c>
      <c r="H90" s="964">
        <v>0</v>
      </c>
      <c r="I90" s="963">
        <v>0</v>
      </c>
      <c r="J90" s="964">
        <v>0</v>
      </c>
      <c r="K90" s="965"/>
    </row>
    <row r="91" spans="2:11" ht="15" customHeight="1">
      <c r="B91" s="951"/>
      <c r="C91" s="953"/>
      <c r="D91" s="957"/>
      <c r="E91" s="953" t="s">
        <v>172</v>
      </c>
      <c r="F91" s="962" t="s">
        <v>541</v>
      </c>
      <c r="G91" s="963">
        <v>0</v>
      </c>
      <c r="H91" s="964">
        <v>0</v>
      </c>
      <c r="I91" s="963">
        <v>0</v>
      </c>
      <c r="J91" s="964">
        <v>0</v>
      </c>
      <c r="K91" s="965"/>
    </row>
    <row r="92" spans="2:11" ht="15" customHeight="1">
      <c r="B92" s="951"/>
      <c r="C92" s="953"/>
      <c r="D92" s="953"/>
      <c r="E92" s="953"/>
      <c r="F92" s="962"/>
      <c r="G92" s="966"/>
      <c r="H92" s="967"/>
      <c r="I92" s="966"/>
      <c r="J92" s="967"/>
    </row>
    <row r="93" spans="2:11" ht="15" customHeight="1">
      <c r="B93" s="951"/>
      <c r="C93" s="953"/>
      <c r="D93" s="957" t="s">
        <v>137</v>
      </c>
      <c r="E93" s="953"/>
      <c r="F93" s="962"/>
      <c r="G93" s="966"/>
      <c r="H93" s="967"/>
      <c r="I93" s="966"/>
      <c r="J93" s="967"/>
    </row>
    <row r="94" spans="2:11" ht="15" customHeight="1">
      <c r="B94" s="951"/>
      <c r="C94" s="953"/>
      <c r="D94" s="953"/>
      <c r="E94" s="953" t="s">
        <v>173</v>
      </c>
      <c r="F94" s="962" t="s">
        <v>541</v>
      </c>
      <c r="G94" s="963">
        <v>0</v>
      </c>
      <c r="H94" s="964">
        <v>0</v>
      </c>
      <c r="I94" s="963">
        <v>0</v>
      </c>
      <c r="J94" s="964">
        <v>0</v>
      </c>
      <c r="K94" s="965"/>
    </row>
    <row r="95" spans="2:11" ht="15" customHeight="1">
      <c r="B95" s="951"/>
      <c r="C95" s="953"/>
      <c r="D95" s="957"/>
      <c r="E95" s="953"/>
      <c r="F95" s="962"/>
      <c r="G95" s="966"/>
      <c r="H95" s="967"/>
      <c r="I95" s="966"/>
      <c r="J95" s="967"/>
    </row>
    <row r="96" spans="2:11" ht="15" customHeight="1">
      <c r="B96" s="951"/>
      <c r="C96" s="953"/>
      <c r="D96" s="957" t="s">
        <v>120</v>
      </c>
      <c r="E96" s="953"/>
      <c r="F96" s="962"/>
      <c r="G96" s="966"/>
      <c r="H96" s="967"/>
      <c r="I96" s="966"/>
      <c r="J96" s="967"/>
    </row>
    <row r="97" spans="2:11" ht="15" customHeight="1">
      <c r="B97" s="951"/>
      <c r="C97" s="953"/>
      <c r="D97" s="957"/>
      <c r="E97" s="977" t="s">
        <v>174</v>
      </c>
      <c r="F97" s="962" t="s">
        <v>542</v>
      </c>
      <c r="G97" s="963">
        <v>165</v>
      </c>
      <c r="H97" s="964">
        <v>186.45</v>
      </c>
      <c r="I97" s="963">
        <v>165</v>
      </c>
      <c r="J97" s="964">
        <v>186.45</v>
      </c>
      <c r="K97" s="965"/>
    </row>
    <row r="98" spans="2:11" ht="15" customHeight="1">
      <c r="B98" s="951"/>
      <c r="C98" s="953"/>
      <c r="D98" s="957"/>
      <c r="E98" s="977" t="s">
        <v>175</v>
      </c>
      <c r="F98" s="962" t="s">
        <v>542</v>
      </c>
      <c r="G98" s="963">
        <v>0</v>
      </c>
      <c r="H98" s="964">
        <v>0</v>
      </c>
      <c r="I98" s="963">
        <v>0</v>
      </c>
      <c r="J98" s="964">
        <v>0</v>
      </c>
      <c r="K98" s="965"/>
    </row>
    <row r="99" spans="2:11" ht="15" customHeight="1">
      <c r="B99" s="951"/>
      <c r="C99" s="953"/>
      <c r="D99" s="957"/>
      <c r="E99" s="977" t="s">
        <v>176</v>
      </c>
      <c r="F99" s="962" t="s">
        <v>542</v>
      </c>
      <c r="G99" s="963">
        <v>0</v>
      </c>
      <c r="H99" s="964">
        <v>0</v>
      </c>
      <c r="I99" s="963">
        <v>0</v>
      </c>
      <c r="J99" s="964">
        <v>0</v>
      </c>
      <c r="K99" s="965"/>
    </row>
    <row r="100" spans="2:11" ht="15" customHeight="1">
      <c r="B100" s="951"/>
      <c r="C100" s="953"/>
      <c r="D100" s="957"/>
      <c r="E100" s="977" t="s">
        <v>177</v>
      </c>
      <c r="F100" s="962" t="s">
        <v>542</v>
      </c>
      <c r="G100" s="963">
        <v>0</v>
      </c>
      <c r="H100" s="964">
        <v>0</v>
      </c>
      <c r="I100" s="963">
        <v>0</v>
      </c>
      <c r="J100" s="964">
        <v>0</v>
      </c>
      <c r="K100" s="965"/>
    </row>
    <row r="101" spans="2:11" ht="15" customHeight="1">
      <c r="B101" s="951"/>
      <c r="C101" s="953"/>
      <c r="D101" s="957"/>
      <c r="E101" s="977" t="s">
        <v>178</v>
      </c>
      <c r="F101" s="962" t="s">
        <v>542</v>
      </c>
      <c r="G101" s="963">
        <v>0</v>
      </c>
      <c r="H101" s="964">
        <v>0</v>
      </c>
      <c r="I101" s="963">
        <v>0</v>
      </c>
      <c r="J101" s="964">
        <v>0</v>
      </c>
      <c r="K101" s="965"/>
    </row>
    <row r="102" spans="2:11" ht="15" customHeight="1">
      <c r="B102" s="951"/>
      <c r="C102" s="953"/>
      <c r="D102" s="957"/>
      <c r="E102" s="977" t="s">
        <v>179</v>
      </c>
      <c r="F102" s="962" t="s">
        <v>542</v>
      </c>
      <c r="G102" s="968"/>
      <c r="H102" s="969"/>
      <c r="I102" s="968"/>
      <c r="J102" s="969"/>
    </row>
    <row r="103" spans="2:11" ht="15" customHeight="1">
      <c r="B103" s="951"/>
      <c r="C103" s="953"/>
      <c r="D103" s="957"/>
      <c r="E103" s="977" t="s">
        <v>180</v>
      </c>
      <c r="F103" s="962" t="s">
        <v>542</v>
      </c>
      <c r="G103" s="963">
        <v>165</v>
      </c>
      <c r="H103" s="964">
        <v>186.45</v>
      </c>
      <c r="I103" s="963">
        <v>165</v>
      </c>
      <c r="J103" s="964">
        <v>186.45</v>
      </c>
      <c r="K103" s="965"/>
    </row>
    <row r="104" spans="2:11" ht="15" customHeight="1">
      <c r="B104" s="951"/>
      <c r="C104" s="953"/>
      <c r="D104" s="957"/>
      <c r="E104" s="977" t="s">
        <v>181</v>
      </c>
      <c r="F104" s="962" t="s">
        <v>542</v>
      </c>
      <c r="G104" s="968"/>
      <c r="H104" s="969"/>
      <c r="I104" s="968"/>
      <c r="J104" s="969"/>
    </row>
    <row r="105" spans="2:11" ht="15" customHeight="1">
      <c r="B105" s="951"/>
      <c r="C105" s="953"/>
      <c r="D105" s="957"/>
      <c r="E105" s="953"/>
      <c r="F105" s="962"/>
      <c r="G105" s="966"/>
      <c r="H105" s="967"/>
      <c r="I105" s="966"/>
      <c r="J105" s="967"/>
    </row>
    <row r="106" spans="2:11" ht="15" customHeight="1">
      <c r="B106" s="951"/>
      <c r="C106" s="953"/>
      <c r="D106" s="957" t="s">
        <v>153</v>
      </c>
      <c r="E106" s="953"/>
      <c r="F106" s="962"/>
      <c r="G106" s="966"/>
      <c r="H106" s="967"/>
      <c r="I106" s="966"/>
      <c r="J106" s="967"/>
    </row>
    <row r="107" spans="2:11" ht="15" customHeight="1">
      <c r="B107" s="951"/>
      <c r="C107" s="953"/>
      <c r="D107" s="953"/>
      <c r="E107" s="977" t="s">
        <v>182</v>
      </c>
      <c r="F107" s="962" t="s">
        <v>542</v>
      </c>
      <c r="G107" s="963">
        <v>0</v>
      </c>
      <c r="H107" s="964">
        <v>0</v>
      </c>
      <c r="I107" s="963">
        <v>0</v>
      </c>
      <c r="J107" s="964">
        <v>0</v>
      </c>
      <c r="K107" s="965"/>
    </row>
    <row r="108" spans="2:11" ht="15" customHeight="1">
      <c r="B108" s="951"/>
      <c r="C108" s="953"/>
      <c r="D108" s="953"/>
      <c r="E108" s="977" t="s">
        <v>183</v>
      </c>
      <c r="F108" s="962" t="s">
        <v>542</v>
      </c>
      <c r="G108" s="963">
        <v>350</v>
      </c>
      <c r="H108" s="964">
        <v>395.5</v>
      </c>
      <c r="I108" s="963">
        <v>350</v>
      </c>
      <c r="J108" s="964">
        <v>395.5</v>
      </c>
      <c r="K108" s="965"/>
    </row>
    <row r="109" spans="2:11" ht="15" customHeight="1">
      <c r="B109" s="951"/>
      <c r="C109" s="953"/>
      <c r="D109" s="953"/>
      <c r="E109" s="953" t="s">
        <v>184</v>
      </c>
      <c r="F109" s="962" t="s">
        <v>542</v>
      </c>
      <c r="G109" s="968"/>
      <c r="H109" s="969"/>
      <c r="I109" s="968"/>
      <c r="J109" s="969"/>
      <c r="K109" s="965"/>
    </row>
    <row r="110" spans="2:11" ht="15" customHeight="1">
      <c r="B110" s="951"/>
      <c r="C110" s="953"/>
      <c r="D110" s="953"/>
      <c r="E110" s="977" t="s">
        <v>185</v>
      </c>
      <c r="F110" s="962" t="s">
        <v>542</v>
      </c>
      <c r="G110" s="963">
        <v>380</v>
      </c>
      <c r="H110" s="964">
        <v>429.4</v>
      </c>
      <c r="I110" s="963">
        <v>380</v>
      </c>
      <c r="J110" s="964">
        <v>429.4</v>
      </c>
      <c r="K110" s="965"/>
    </row>
    <row r="111" spans="2:11" ht="15" customHeight="1">
      <c r="B111" s="951"/>
      <c r="C111" s="953"/>
      <c r="D111" s="957"/>
      <c r="E111" s="953" t="s">
        <v>186</v>
      </c>
      <c r="F111" s="962" t="s">
        <v>542</v>
      </c>
      <c r="G111" s="968"/>
      <c r="H111" s="969"/>
      <c r="I111" s="968"/>
      <c r="J111" s="969"/>
    </row>
    <row r="112" spans="2:11" ht="15" customHeight="1" thickBot="1">
      <c r="B112" s="970"/>
      <c r="C112" s="971"/>
      <c r="D112" s="971"/>
      <c r="E112" s="971"/>
      <c r="F112" s="972"/>
      <c r="G112" s="979"/>
      <c r="H112" s="980"/>
      <c r="I112" s="979"/>
      <c r="J112" s="980"/>
    </row>
    <row r="113" spans="2:11" ht="15" customHeight="1">
      <c r="B113" s="975"/>
      <c r="C113" s="976" t="s">
        <v>187</v>
      </c>
      <c r="D113" s="976"/>
      <c r="E113" s="977"/>
      <c r="F113" s="978"/>
      <c r="G113" s="966"/>
      <c r="H113" s="967"/>
      <c r="I113" s="966"/>
      <c r="J113" s="967"/>
    </row>
    <row r="114" spans="2:11" ht="15" customHeight="1">
      <c r="B114" s="951"/>
      <c r="C114" s="953"/>
      <c r="D114" s="957" t="s">
        <v>454</v>
      </c>
      <c r="E114" s="953"/>
      <c r="F114" s="962"/>
      <c r="G114" s="966"/>
      <c r="H114" s="967"/>
      <c r="I114" s="966"/>
      <c r="J114" s="967"/>
    </row>
    <row r="115" spans="2:11" ht="15" customHeight="1">
      <c r="B115" s="951"/>
      <c r="C115" s="953"/>
      <c r="D115" s="957"/>
      <c r="E115" s="953" t="s">
        <v>188</v>
      </c>
      <c r="F115" s="962" t="s">
        <v>541</v>
      </c>
      <c r="G115" s="963">
        <v>0</v>
      </c>
      <c r="H115" s="964">
        <v>0</v>
      </c>
      <c r="I115" s="963">
        <v>0</v>
      </c>
      <c r="J115" s="964">
        <v>0</v>
      </c>
      <c r="K115" s="965"/>
    </row>
    <row r="116" spans="2:11" ht="15" customHeight="1">
      <c r="B116" s="951"/>
      <c r="C116" s="953"/>
      <c r="D116" s="957"/>
      <c r="E116" s="953" t="s">
        <v>189</v>
      </c>
      <c r="F116" s="962" t="s">
        <v>541</v>
      </c>
      <c r="G116" s="963">
        <v>134</v>
      </c>
      <c r="H116" s="964">
        <v>151.41999999999999</v>
      </c>
      <c r="I116" s="963">
        <v>134</v>
      </c>
      <c r="J116" s="964">
        <v>151.41999999999999</v>
      </c>
      <c r="K116" s="965"/>
    </row>
    <row r="117" spans="2:11" ht="15" customHeight="1">
      <c r="B117" s="951"/>
      <c r="C117" s="953"/>
      <c r="D117" s="957"/>
      <c r="E117" s="977"/>
      <c r="F117" s="962"/>
      <c r="G117" s="966"/>
      <c r="H117" s="967"/>
      <c r="I117" s="966"/>
      <c r="J117" s="967"/>
    </row>
    <row r="118" spans="2:11" ht="15" customHeight="1">
      <c r="B118" s="951"/>
      <c r="C118" s="953"/>
      <c r="D118" s="957" t="s">
        <v>113</v>
      </c>
      <c r="E118" s="953"/>
      <c r="F118" s="978"/>
      <c r="G118" s="966"/>
      <c r="H118" s="967"/>
      <c r="I118" s="966"/>
      <c r="J118" s="967"/>
    </row>
    <row r="119" spans="2:11" ht="15" customHeight="1">
      <c r="B119" s="951"/>
      <c r="C119" s="953"/>
      <c r="D119" s="957"/>
      <c r="E119" s="953" t="s">
        <v>190</v>
      </c>
      <c r="F119" s="962" t="s">
        <v>542</v>
      </c>
      <c r="G119" s="963">
        <v>0</v>
      </c>
      <c r="H119" s="964">
        <v>0</v>
      </c>
      <c r="I119" s="963">
        <v>0</v>
      </c>
      <c r="J119" s="964">
        <v>0</v>
      </c>
      <c r="K119" s="965"/>
    </row>
    <row r="120" spans="2:11" ht="15" customHeight="1">
      <c r="B120" s="951"/>
      <c r="C120" s="953"/>
      <c r="D120" s="957"/>
      <c r="E120" s="953" t="s">
        <v>191</v>
      </c>
      <c r="F120" s="962" t="s">
        <v>542</v>
      </c>
      <c r="G120" s="963">
        <v>0</v>
      </c>
      <c r="H120" s="964">
        <v>0</v>
      </c>
      <c r="I120" s="963">
        <v>0</v>
      </c>
      <c r="J120" s="964">
        <v>0</v>
      </c>
      <c r="K120" s="965"/>
    </row>
    <row r="121" spans="2:11" ht="15" customHeight="1">
      <c r="B121" s="951"/>
      <c r="C121" s="953"/>
      <c r="D121" s="957"/>
      <c r="E121" s="977" t="s">
        <v>192</v>
      </c>
      <c r="F121" s="962" t="s">
        <v>542</v>
      </c>
      <c r="G121" s="963">
        <v>0</v>
      </c>
      <c r="H121" s="964">
        <v>0</v>
      </c>
      <c r="I121" s="963">
        <v>7</v>
      </c>
      <c r="J121" s="964">
        <v>7.91</v>
      </c>
      <c r="K121" s="965"/>
    </row>
    <row r="122" spans="2:11" ht="15" customHeight="1">
      <c r="B122" s="951"/>
      <c r="C122" s="953"/>
      <c r="D122" s="953"/>
      <c r="E122" s="953"/>
      <c r="F122" s="962"/>
      <c r="G122" s="966"/>
      <c r="H122" s="967"/>
      <c r="I122" s="966"/>
      <c r="J122" s="967"/>
    </row>
    <row r="123" spans="2:11" ht="15" customHeight="1">
      <c r="B123" s="951"/>
      <c r="C123" s="953"/>
      <c r="D123" s="957" t="s">
        <v>134</v>
      </c>
      <c r="E123" s="953"/>
      <c r="F123" s="978"/>
      <c r="G123" s="966"/>
      <c r="H123" s="967"/>
      <c r="I123" s="966"/>
      <c r="J123" s="967"/>
    </row>
    <row r="124" spans="2:11" ht="15" customHeight="1">
      <c r="B124" s="951"/>
      <c r="C124" s="953"/>
      <c r="D124" s="953"/>
      <c r="E124" s="953" t="s">
        <v>193</v>
      </c>
      <c r="F124" s="962" t="s">
        <v>541</v>
      </c>
      <c r="G124" s="963">
        <v>685</v>
      </c>
      <c r="H124" s="964">
        <v>774.05</v>
      </c>
      <c r="I124" s="963">
        <v>684.95</v>
      </c>
      <c r="J124" s="964">
        <v>773.99349999999993</v>
      </c>
      <c r="K124" s="965"/>
    </row>
    <row r="125" spans="2:11" ht="15" customHeight="1">
      <c r="B125" s="951"/>
      <c r="C125" s="953"/>
      <c r="D125" s="953"/>
      <c r="E125" s="953" t="s">
        <v>194</v>
      </c>
      <c r="F125" s="962" t="s">
        <v>541</v>
      </c>
      <c r="G125" s="963">
        <v>0</v>
      </c>
      <c r="H125" s="964">
        <v>0</v>
      </c>
      <c r="I125" s="963">
        <v>0</v>
      </c>
      <c r="J125" s="964">
        <v>0</v>
      </c>
      <c r="K125" s="965"/>
    </row>
    <row r="126" spans="2:11" ht="15" customHeight="1">
      <c r="B126" s="951"/>
      <c r="C126" s="953"/>
      <c r="D126" s="953"/>
      <c r="E126" s="953" t="s">
        <v>195</v>
      </c>
      <c r="F126" s="962" t="s">
        <v>541</v>
      </c>
      <c r="G126" s="963">
        <v>0</v>
      </c>
      <c r="H126" s="964">
        <v>0</v>
      </c>
      <c r="I126" s="963">
        <v>0</v>
      </c>
      <c r="J126" s="964">
        <v>0</v>
      </c>
      <c r="K126" s="965"/>
    </row>
    <row r="127" spans="2:11" ht="15" customHeight="1">
      <c r="B127" s="951"/>
      <c r="C127" s="953"/>
      <c r="D127" s="953"/>
      <c r="E127" s="953"/>
      <c r="F127" s="958"/>
      <c r="G127" s="966"/>
      <c r="H127" s="967"/>
      <c r="I127" s="966"/>
      <c r="J127" s="967"/>
    </row>
    <row r="128" spans="2:11" ht="15" customHeight="1">
      <c r="B128" s="951"/>
      <c r="C128" s="953"/>
      <c r="D128" s="957" t="s">
        <v>137</v>
      </c>
      <c r="E128" s="953"/>
      <c r="F128" s="958"/>
      <c r="G128" s="966"/>
      <c r="H128" s="967"/>
      <c r="I128" s="966"/>
      <c r="J128" s="967"/>
    </row>
    <row r="129" spans="2:11" ht="15" customHeight="1">
      <c r="B129" s="951"/>
      <c r="C129" s="953"/>
      <c r="D129" s="953"/>
      <c r="E129" s="977" t="s">
        <v>196</v>
      </c>
      <c r="F129" s="962" t="s">
        <v>541</v>
      </c>
      <c r="G129" s="963">
        <v>0</v>
      </c>
      <c r="H129" s="964">
        <v>0</v>
      </c>
      <c r="I129" s="963">
        <v>0</v>
      </c>
      <c r="J129" s="964">
        <v>0</v>
      </c>
      <c r="K129" s="965"/>
    </row>
    <row r="130" spans="2:11" ht="15" customHeight="1">
      <c r="B130" s="951"/>
      <c r="C130" s="953"/>
      <c r="D130" s="953"/>
      <c r="E130" s="953"/>
      <c r="F130" s="958"/>
      <c r="G130" s="966"/>
      <c r="H130" s="967"/>
      <c r="I130" s="966"/>
      <c r="J130" s="967"/>
    </row>
    <row r="131" spans="2:11" ht="15" customHeight="1">
      <c r="B131" s="951"/>
      <c r="C131" s="953"/>
      <c r="D131" s="957" t="s">
        <v>120</v>
      </c>
      <c r="E131" s="953"/>
      <c r="F131" s="958"/>
      <c r="G131" s="966"/>
      <c r="H131" s="967"/>
      <c r="I131" s="966"/>
      <c r="J131" s="967"/>
    </row>
    <row r="132" spans="2:11" ht="15" customHeight="1">
      <c r="B132" s="951"/>
      <c r="C132" s="953"/>
      <c r="D132" s="953"/>
      <c r="E132" s="953" t="s">
        <v>197</v>
      </c>
      <c r="F132" s="962" t="s">
        <v>542</v>
      </c>
      <c r="G132" s="963">
        <v>550</v>
      </c>
      <c r="H132" s="964">
        <v>621.5</v>
      </c>
      <c r="I132" s="963">
        <v>550</v>
      </c>
      <c r="J132" s="964">
        <v>621.5</v>
      </c>
      <c r="K132" s="965"/>
    </row>
    <row r="133" spans="2:11" ht="15" customHeight="1">
      <c r="B133" s="951"/>
      <c r="C133" s="953"/>
      <c r="D133" s="953"/>
      <c r="E133" s="953" t="s">
        <v>198</v>
      </c>
      <c r="F133" s="962" t="s">
        <v>542</v>
      </c>
      <c r="G133" s="968"/>
      <c r="H133" s="969"/>
      <c r="I133" s="968"/>
      <c r="J133" s="969"/>
    </row>
    <row r="134" spans="2:11" ht="15" customHeight="1">
      <c r="B134" s="951"/>
      <c r="C134" s="953"/>
      <c r="D134" s="953"/>
      <c r="E134" s="953"/>
      <c r="F134" s="958"/>
      <c r="G134" s="966"/>
      <c r="H134" s="967"/>
      <c r="I134" s="966"/>
      <c r="J134" s="967"/>
    </row>
    <row r="135" spans="2:11" ht="15" customHeight="1">
      <c r="B135" s="951"/>
      <c r="C135" s="953"/>
      <c r="D135" s="957" t="s">
        <v>153</v>
      </c>
      <c r="E135" s="953"/>
      <c r="F135" s="962"/>
      <c r="G135" s="966"/>
      <c r="H135" s="967"/>
      <c r="I135" s="966"/>
      <c r="J135" s="967"/>
    </row>
    <row r="136" spans="2:11" ht="15" customHeight="1">
      <c r="B136" s="951"/>
      <c r="C136" s="953"/>
      <c r="D136" s="953"/>
      <c r="E136" s="977" t="s">
        <v>199</v>
      </c>
      <c r="F136" s="962" t="s">
        <v>542</v>
      </c>
      <c r="G136" s="963">
        <v>810</v>
      </c>
      <c r="H136" s="964">
        <v>915.3</v>
      </c>
      <c r="I136" s="963">
        <v>810</v>
      </c>
      <c r="J136" s="964">
        <v>915.3</v>
      </c>
      <c r="K136" s="965"/>
    </row>
    <row r="137" spans="2:11" ht="15" customHeight="1">
      <c r="B137" s="951"/>
      <c r="C137" s="953"/>
      <c r="D137" s="953"/>
      <c r="E137" s="977" t="s">
        <v>200</v>
      </c>
      <c r="F137" s="962" t="s">
        <v>542</v>
      </c>
      <c r="G137" s="968"/>
      <c r="H137" s="969"/>
      <c r="I137" s="968"/>
      <c r="J137" s="969"/>
    </row>
    <row r="138" spans="2:11" ht="15" customHeight="1" thickBot="1">
      <c r="B138" s="970"/>
      <c r="C138" s="971"/>
      <c r="D138" s="971"/>
      <c r="E138" s="971"/>
      <c r="F138" s="972"/>
      <c r="G138" s="979"/>
      <c r="H138" s="980"/>
      <c r="I138" s="979"/>
      <c r="J138" s="980"/>
    </row>
    <row r="139" spans="2:11" ht="15" customHeight="1">
      <c r="B139" s="975"/>
      <c r="C139" s="976" t="s">
        <v>201</v>
      </c>
      <c r="D139" s="976"/>
      <c r="E139" s="977"/>
      <c r="F139" s="978"/>
      <c r="G139" s="966"/>
      <c r="H139" s="967"/>
      <c r="I139" s="966"/>
      <c r="J139" s="967"/>
    </row>
    <row r="140" spans="2:11" ht="15" customHeight="1">
      <c r="B140" s="951"/>
      <c r="C140" s="953"/>
      <c r="D140" s="957" t="s">
        <v>202</v>
      </c>
      <c r="E140" s="953"/>
      <c r="F140" s="962"/>
      <c r="G140" s="966"/>
      <c r="H140" s="967"/>
      <c r="I140" s="966"/>
      <c r="J140" s="967"/>
    </row>
    <row r="141" spans="2:11" ht="15" customHeight="1">
      <c r="B141" s="951"/>
      <c r="C141" s="953"/>
      <c r="D141" s="953"/>
      <c r="E141" s="977" t="s">
        <v>203</v>
      </c>
      <c r="F141" s="962" t="s">
        <v>542</v>
      </c>
      <c r="G141" s="968"/>
      <c r="H141" s="969"/>
      <c r="I141" s="968"/>
      <c r="J141" s="969"/>
    </row>
    <row r="142" spans="2:11" ht="15" customHeight="1">
      <c r="B142" s="951"/>
      <c r="C142" s="953"/>
      <c r="D142" s="953"/>
      <c r="E142" s="977" t="s">
        <v>204</v>
      </c>
      <c r="F142" s="962" t="s">
        <v>542</v>
      </c>
      <c r="G142" s="968"/>
      <c r="H142" s="969"/>
      <c r="I142" s="968"/>
      <c r="J142" s="969"/>
    </row>
    <row r="143" spans="2:11" ht="15" customHeight="1">
      <c r="B143" s="951"/>
      <c r="C143" s="977"/>
      <c r="D143" s="957"/>
      <c r="E143" s="953"/>
      <c r="F143" s="962"/>
      <c r="G143" s="966"/>
      <c r="H143" s="967"/>
      <c r="I143" s="966"/>
      <c r="J143" s="967"/>
    </row>
    <row r="144" spans="2:11" ht="15" customHeight="1">
      <c r="B144" s="951"/>
      <c r="C144" s="953"/>
      <c r="D144" s="957" t="s">
        <v>205</v>
      </c>
      <c r="E144" s="953"/>
      <c r="F144" s="962"/>
      <c r="G144" s="966"/>
      <c r="H144" s="967"/>
      <c r="I144" s="966"/>
      <c r="J144" s="967"/>
    </row>
    <row r="145" spans="2:11" ht="15" customHeight="1">
      <c r="B145" s="951"/>
      <c r="C145" s="953"/>
      <c r="D145" s="953"/>
      <c r="E145" s="977" t="s">
        <v>206</v>
      </c>
      <c r="F145" s="962" t="s">
        <v>542</v>
      </c>
      <c r="G145" s="968"/>
      <c r="H145" s="969"/>
      <c r="I145" s="968"/>
      <c r="J145" s="969"/>
    </row>
    <row r="146" spans="2:11" ht="15" customHeight="1">
      <c r="B146" s="951"/>
      <c r="C146" s="953"/>
      <c r="D146" s="953"/>
      <c r="E146" s="977" t="s">
        <v>207</v>
      </c>
      <c r="F146" s="962" t="s">
        <v>542</v>
      </c>
      <c r="G146" s="968"/>
      <c r="H146" s="969"/>
      <c r="I146" s="968"/>
      <c r="J146" s="969"/>
    </row>
    <row r="147" spans="2:11" ht="15" customHeight="1" thickBot="1">
      <c r="B147" s="970"/>
      <c r="C147" s="971"/>
      <c r="D147" s="971"/>
      <c r="E147" s="971"/>
      <c r="F147" s="972"/>
      <c r="G147" s="981"/>
      <c r="H147" s="982"/>
      <c r="I147" s="981"/>
      <c r="J147" s="982"/>
    </row>
    <row r="148" spans="2:11" ht="15" customHeight="1" thickBot="1">
      <c r="B148" s="977"/>
      <c r="C148" s="977"/>
      <c r="D148" s="977"/>
      <c r="E148" s="977"/>
      <c r="F148" s="977"/>
      <c r="G148" s="677"/>
      <c r="H148" s="677"/>
      <c r="I148" s="677"/>
      <c r="J148" s="677"/>
    </row>
    <row r="149" spans="2:11" ht="15" customHeight="1">
      <c r="B149" s="983"/>
      <c r="C149" s="984" t="s">
        <v>543</v>
      </c>
      <c r="D149" s="984"/>
      <c r="E149" s="985"/>
      <c r="F149" s="986"/>
      <c r="G149" s="987"/>
      <c r="H149" s="988"/>
      <c r="I149" s="987"/>
      <c r="J149" s="988"/>
    </row>
    <row r="150" spans="2:11" ht="15" customHeight="1">
      <c r="B150" s="961"/>
      <c r="C150" s="953"/>
      <c r="D150" s="957"/>
      <c r="E150" s="957" t="s">
        <v>140</v>
      </c>
      <c r="F150" s="962"/>
      <c r="G150" s="989"/>
      <c r="H150" s="990"/>
      <c r="I150" s="989"/>
      <c r="J150" s="990"/>
    </row>
    <row r="151" spans="2:11" ht="15" customHeight="1">
      <c r="B151" s="961"/>
      <c r="C151" s="953"/>
      <c r="D151" s="957"/>
      <c r="E151" s="991" t="s">
        <v>544</v>
      </c>
      <c r="F151" s="962" t="s">
        <v>542</v>
      </c>
      <c r="G151" s="963">
        <v>0</v>
      </c>
      <c r="H151" s="964">
        <v>0</v>
      </c>
      <c r="I151" s="963">
        <v>50</v>
      </c>
      <c r="J151" s="964">
        <v>56.5</v>
      </c>
      <c r="K151" s="965"/>
    </row>
    <row r="152" spans="2:11" ht="15" customHeight="1">
      <c r="B152" s="961"/>
      <c r="C152" s="953"/>
      <c r="D152" s="957"/>
      <c r="E152" s="991" t="s">
        <v>545</v>
      </c>
      <c r="F152" s="962" t="s">
        <v>542</v>
      </c>
      <c r="G152" s="963">
        <v>5.9</v>
      </c>
      <c r="H152" s="964">
        <v>6.67</v>
      </c>
      <c r="I152" s="963">
        <v>11.026399999999999</v>
      </c>
      <c r="J152" s="964">
        <v>12.459831999999997</v>
      </c>
      <c r="K152" s="965"/>
    </row>
    <row r="153" spans="2:11" ht="15" customHeight="1">
      <c r="B153" s="961"/>
      <c r="C153" s="953"/>
      <c r="D153" s="957"/>
      <c r="E153" s="957" t="s">
        <v>149</v>
      </c>
      <c r="F153" s="962"/>
      <c r="G153" s="989"/>
      <c r="H153" s="990"/>
      <c r="I153" s="989"/>
      <c r="J153" s="990"/>
    </row>
    <row r="154" spans="2:11" ht="15" customHeight="1">
      <c r="B154" s="961"/>
      <c r="C154" s="953"/>
      <c r="D154" s="957"/>
      <c r="E154" s="991" t="s">
        <v>544</v>
      </c>
      <c r="F154" s="962" t="s">
        <v>542</v>
      </c>
      <c r="G154" s="963">
        <v>0</v>
      </c>
      <c r="H154" s="964">
        <v>0</v>
      </c>
      <c r="I154" s="963">
        <v>0</v>
      </c>
      <c r="J154" s="964">
        <v>0</v>
      </c>
      <c r="K154" s="965"/>
    </row>
    <row r="155" spans="2:11" ht="15" customHeight="1" thickBot="1">
      <c r="B155" s="992"/>
      <c r="C155" s="993"/>
      <c r="D155" s="994"/>
      <c r="E155" s="995" t="s">
        <v>545</v>
      </c>
      <c r="F155" s="996" t="s">
        <v>542</v>
      </c>
      <c r="G155" s="997">
        <v>7</v>
      </c>
      <c r="H155" s="998">
        <v>7.91</v>
      </c>
      <c r="I155" s="997">
        <v>12</v>
      </c>
      <c r="J155" s="998">
        <v>13.56</v>
      </c>
      <c r="K155" s="965"/>
    </row>
  </sheetData>
  <mergeCells count="2">
    <mergeCell ref="B7:E9"/>
    <mergeCell ref="F7:F9"/>
  </mergeCells>
  <phoneticPr fontId="1" type="noConversion"/>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5FFFF"/>
    <pageSetUpPr fitToPage="1"/>
  </sheetPr>
  <dimension ref="J3:P10"/>
  <sheetViews>
    <sheetView workbookViewId="0">
      <selection activeCell="O7" sqref="O7"/>
    </sheetView>
  </sheetViews>
  <sheetFormatPr defaultColWidth="10.85546875" defaultRowHeight="15"/>
  <cols>
    <col min="1" max="16384" width="10.85546875" style="2"/>
  </cols>
  <sheetData>
    <row r="3" spans="10:16" ht="24" customHeight="1">
      <c r="J3" s="1601" t="s">
        <v>546</v>
      </c>
      <c r="K3" s="1602"/>
      <c r="L3" s="1603"/>
      <c r="N3" s="1601" t="s">
        <v>547</v>
      </c>
      <c r="O3" s="1602"/>
      <c r="P3" s="1603"/>
    </row>
    <row r="4" spans="10:16">
      <c r="J4" s="1604" t="s">
        <v>548</v>
      </c>
      <c r="K4" s="1605"/>
      <c r="L4" s="1606"/>
      <c r="N4" s="1604" t="s">
        <v>549</v>
      </c>
      <c r="O4" s="1605"/>
      <c r="P4" s="1606"/>
    </row>
    <row r="5" spans="10:16">
      <c r="J5" s="24" t="s">
        <v>427</v>
      </c>
      <c r="K5" s="28"/>
      <c r="L5" s="23"/>
      <c r="N5" s="24"/>
      <c r="O5" s="22" t="s">
        <v>223</v>
      </c>
      <c r="P5" s="23"/>
    </row>
    <row r="6" spans="10:16">
      <c r="J6" s="25" t="s">
        <v>426</v>
      </c>
      <c r="K6" s="26"/>
      <c r="L6" s="27"/>
      <c r="N6" s="24" t="s">
        <v>244</v>
      </c>
      <c r="O6" s="28"/>
      <c r="P6" s="23"/>
    </row>
    <row r="7" spans="10:16">
      <c r="N7" s="24" t="s">
        <v>550</v>
      </c>
      <c r="O7" s="28"/>
      <c r="P7" s="23"/>
    </row>
    <row r="8" spans="10:16">
      <c r="N8" s="24" t="s">
        <v>245</v>
      </c>
      <c r="O8" s="28"/>
      <c r="P8" s="23"/>
    </row>
    <row r="9" spans="10:16">
      <c r="N9" s="24" t="s">
        <v>427</v>
      </c>
      <c r="O9" s="28"/>
      <c r="P9" s="23"/>
    </row>
    <row r="10" spans="10:16">
      <c r="N10" s="25" t="s">
        <v>506</v>
      </c>
      <c r="O10" s="29"/>
      <c r="P10" s="27"/>
    </row>
  </sheetData>
  <mergeCells count="4">
    <mergeCell ref="J3:L3"/>
    <mergeCell ref="N3:P3"/>
    <mergeCell ref="J4:L4"/>
    <mergeCell ref="N4:P4"/>
  </mergeCells>
  <phoneticPr fontId="1"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5FFFF"/>
    <pageSetUpPr fitToPage="1"/>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47" t="s">
        <v>551</v>
      </c>
      <c r="F1" s="44"/>
    </row>
    <row r="3" spans="1:38">
      <c r="A3" s="47" t="s">
        <v>101</v>
      </c>
    </row>
    <row r="5" spans="1:38">
      <c r="C5" s="999" t="s">
        <v>552</v>
      </c>
      <c r="D5" s="1000"/>
      <c r="E5" s="1000"/>
      <c r="F5" s="1000"/>
      <c r="G5" s="1000"/>
      <c r="H5" s="1000"/>
      <c r="I5" s="999"/>
      <c r="J5" s="1000"/>
      <c r="K5" s="1000"/>
      <c r="L5" s="1000"/>
      <c r="M5" s="1000"/>
      <c r="N5" s="1000"/>
      <c r="O5" s="1000"/>
      <c r="P5" s="1000"/>
      <c r="Q5" s="1000"/>
      <c r="R5" s="1000"/>
      <c r="S5" s="1000"/>
      <c r="T5" s="1000"/>
      <c r="U5" s="1000"/>
      <c r="V5" s="1000"/>
      <c r="W5" s="1000"/>
      <c r="X5" s="1000"/>
      <c r="Y5" s="1000"/>
      <c r="Z5" s="1000"/>
      <c r="AA5" s="1000"/>
      <c r="AB5" s="1000"/>
      <c r="AC5" s="1000"/>
      <c r="AD5" s="1000"/>
      <c r="AE5" s="1000"/>
      <c r="AF5" s="1000"/>
      <c r="AG5" s="1000"/>
      <c r="AH5" s="1000"/>
      <c r="AI5" s="1000"/>
      <c r="AJ5" s="1000"/>
      <c r="AK5" s="1000"/>
      <c r="AL5" s="1001"/>
    </row>
    <row r="6" spans="1:38">
      <c r="C6" s="1002"/>
      <c r="D6" s="1003"/>
      <c r="E6" s="1003"/>
      <c r="F6" s="1003"/>
      <c r="G6" s="1003"/>
      <c r="H6" s="1003"/>
      <c r="I6" s="1003"/>
      <c r="J6" s="1003"/>
      <c r="K6" s="1003"/>
      <c r="L6" s="1003"/>
      <c r="M6" s="1003"/>
      <c r="N6" s="1003"/>
      <c r="O6" s="1003"/>
      <c r="P6" s="1003"/>
      <c r="Q6" s="1003"/>
      <c r="R6" s="1003"/>
      <c r="S6" s="1003"/>
      <c r="T6" s="1003"/>
      <c r="U6" s="1003"/>
      <c r="V6" s="1003"/>
      <c r="W6" s="1003"/>
      <c r="X6" s="1003"/>
      <c r="Y6" s="1003"/>
      <c r="Z6" s="1003"/>
      <c r="AA6" s="1003"/>
      <c r="AB6" s="1003"/>
      <c r="AC6" s="1003"/>
      <c r="AD6" s="1003"/>
      <c r="AE6" s="1003"/>
      <c r="AF6" s="1003"/>
      <c r="AG6" s="1003"/>
      <c r="AH6" s="1003"/>
      <c r="AI6" s="1003"/>
      <c r="AJ6" s="1003"/>
      <c r="AK6" s="1003"/>
      <c r="AL6" s="1004"/>
    </row>
    <row r="7" spans="1:38">
      <c r="C7" s="1002"/>
      <c r="D7" s="1621" t="s">
        <v>553</v>
      </c>
      <c r="E7" s="1622"/>
      <c r="F7" s="1622"/>
      <c r="G7" s="1622"/>
      <c r="H7" s="1622"/>
      <c r="I7" s="1622"/>
      <c r="J7" s="1622"/>
      <c r="K7" s="1622"/>
      <c r="L7" s="1622"/>
      <c r="M7" s="1622"/>
      <c r="N7" s="1622"/>
      <c r="O7" s="1622"/>
      <c r="P7" s="1622"/>
      <c r="Q7" s="1622"/>
      <c r="R7" s="1622"/>
      <c r="S7" s="1622"/>
      <c r="T7" s="1622"/>
      <c r="U7" s="1622"/>
      <c r="V7" s="1622"/>
      <c r="W7" s="1622"/>
      <c r="X7" s="1623"/>
      <c r="Y7" s="1607" t="s">
        <v>554</v>
      </c>
      <c r="Z7" s="1607" t="s">
        <v>555</v>
      </c>
      <c r="AA7" s="1607" t="s">
        <v>556</v>
      </c>
      <c r="AB7" s="1607" t="s">
        <v>557</v>
      </c>
      <c r="AC7" s="1607" t="s">
        <v>558</v>
      </c>
      <c r="AD7" s="1607" t="s">
        <v>559</v>
      </c>
      <c r="AE7" s="1607" t="s">
        <v>560</v>
      </c>
      <c r="AF7" s="1607" t="s">
        <v>561</v>
      </c>
      <c r="AG7" s="1607" t="s">
        <v>562</v>
      </c>
      <c r="AH7" s="1607" t="s">
        <v>563</v>
      </c>
      <c r="AI7" s="1607" t="s">
        <v>564</v>
      </c>
      <c r="AJ7" s="1607" t="s">
        <v>565</v>
      </c>
      <c r="AK7" s="1612" t="s">
        <v>566</v>
      </c>
      <c r="AL7" s="1005"/>
    </row>
    <row r="8" spans="1:38">
      <c r="C8" s="1002"/>
      <c r="D8" s="1615" t="s">
        <v>567</v>
      </c>
      <c r="E8" s="1616"/>
      <c r="F8" s="1616"/>
      <c r="G8" s="1616"/>
      <c r="H8" s="1616"/>
      <c r="I8" s="1617"/>
      <c r="J8" s="1618" t="s">
        <v>568</v>
      </c>
      <c r="K8" s="1619"/>
      <c r="L8" s="1619"/>
      <c r="M8" s="1619"/>
      <c r="N8" s="1619"/>
      <c r="O8" s="1619"/>
      <c r="P8" s="1619"/>
      <c r="Q8" s="1619"/>
      <c r="R8" s="1619"/>
      <c r="S8" s="1619"/>
      <c r="T8" s="1619"/>
      <c r="U8" s="1619"/>
      <c r="V8" s="1619"/>
      <c r="W8" s="1619"/>
      <c r="X8" s="1620"/>
      <c r="Y8" s="1608"/>
      <c r="Z8" s="1608"/>
      <c r="AA8" s="1608"/>
      <c r="AB8" s="1608"/>
      <c r="AC8" s="1608"/>
      <c r="AD8" s="1608"/>
      <c r="AE8" s="1608"/>
      <c r="AF8" s="1608"/>
      <c r="AG8" s="1608"/>
      <c r="AH8" s="1608"/>
      <c r="AI8" s="1608"/>
      <c r="AJ8" s="1608"/>
      <c r="AK8" s="1613"/>
      <c r="AL8" s="1005"/>
    </row>
    <row r="9" spans="1:38" s="1006" customFormat="1" ht="140.25">
      <c r="C9" s="1007" t="s">
        <v>569</v>
      </c>
      <c r="D9" s="1008" t="s">
        <v>570</v>
      </c>
      <c r="E9" s="1008" t="s">
        <v>571</v>
      </c>
      <c r="F9" s="1008" t="s">
        <v>572</v>
      </c>
      <c r="G9" s="1008" t="s">
        <v>573</v>
      </c>
      <c r="H9" s="1008" t="s">
        <v>574</v>
      </c>
      <c r="I9" s="1008" t="s">
        <v>575</v>
      </c>
      <c r="J9" s="1008" t="s">
        <v>576</v>
      </c>
      <c r="K9" s="1009" t="s">
        <v>577</v>
      </c>
      <c r="L9" s="1009" t="s">
        <v>578</v>
      </c>
      <c r="M9" s="1009" t="s">
        <v>579</v>
      </c>
      <c r="N9" s="1009" t="s">
        <v>580</v>
      </c>
      <c r="O9" s="1009" t="s">
        <v>581</v>
      </c>
      <c r="P9" s="1009" t="s">
        <v>582</v>
      </c>
      <c r="Q9" s="1009" t="s">
        <v>583</v>
      </c>
      <c r="R9" s="1009" t="s">
        <v>584</v>
      </c>
      <c r="S9" s="1009" t="s">
        <v>585</v>
      </c>
      <c r="T9" s="1009" t="s">
        <v>586</v>
      </c>
      <c r="U9" s="1009" t="s">
        <v>587</v>
      </c>
      <c r="V9" s="1009" t="s">
        <v>588</v>
      </c>
      <c r="W9" s="1009" t="s">
        <v>589</v>
      </c>
      <c r="X9" s="1009" t="s">
        <v>590</v>
      </c>
      <c r="Y9" s="1609"/>
      <c r="Z9" s="1609"/>
      <c r="AA9" s="1609"/>
      <c r="AB9" s="1609"/>
      <c r="AC9" s="1609"/>
      <c r="AD9" s="1609"/>
      <c r="AE9" s="1609"/>
      <c r="AF9" s="1609"/>
      <c r="AG9" s="1609"/>
      <c r="AH9" s="1609"/>
      <c r="AI9" s="1609"/>
      <c r="AJ9" s="1609"/>
      <c r="AK9" s="1614"/>
      <c r="AL9" s="1010"/>
    </row>
    <row r="10" spans="1:38">
      <c r="C10" s="1011"/>
      <c r="D10" s="1012" t="s">
        <v>591</v>
      </c>
      <c r="E10" s="1012" t="s">
        <v>591</v>
      </c>
      <c r="F10" s="1012" t="s">
        <v>591</v>
      </c>
      <c r="G10" s="1012" t="s">
        <v>591</v>
      </c>
      <c r="H10" s="1012" t="s">
        <v>591</v>
      </c>
      <c r="I10" s="1012" t="s">
        <v>591</v>
      </c>
      <c r="J10" s="1012" t="s">
        <v>591</v>
      </c>
      <c r="K10" s="1012" t="s">
        <v>591</v>
      </c>
      <c r="L10" s="1012" t="s">
        <v>591</v>
      </c>
      <c r="M10" s="1012" t="s">
        <v>591</v>
      </c>
      <c r="N10" s="1012" t="s">
        <v>591</v>
      </c>
      <c r="O10" s="1012" t="s">
        <v>591</v>
      </c>
      <c r="P10" s="1012" t="s">
        <v>591</v>
      </c>
      <c r="Q10" s="1012" t="s">
        <v>591</v>
      </c>
      <c r="R10" s="1012" t="s">
        <v>591</v>
      </c>
      <c r="S10" s="1012" t="s">
        <v>591</v>
      </c>
      <c r="T10" s="1012" t="s">
        <v>591</v>
      </c>
      <c r="U10" s="1012" t="s">
        <v>591</v>
      </c>
      <c r="V10" s="1012" t="s">
        <v>591</v>
      </c>
      <c r="W10" s="1012" t="s">
        <v>591</v>
      </c>
      <c r="X10" s="1012" t="s">
        <v>591</v>
      </c>
      <c r="Y10" s="1012" t="s">
        <v>591</v>
      </c>
      <c r="Z10" s="1012" t="s">
        <v>591</v>
      </c>
      <c r="AA10" s="1012" t="s">
        <v>591</v>
      </c>
      <c r="AB10" s="1012" t="s">
        <v>591</v>
      </c>
      <c r="AC10" s="1012" t="s">
        <v>591</v>
      </c>
      <c r="AD10" s="1012" t="s">
        <v>591</v>
      </c>
      <c r="AE10" s="1012" t="s">
        <v>591</v>
      </c>
      <c r="AF10" s="1012" t="s">
        <v>591</v>
      </c>
      <c r="AG10" s="1012" t="s">
        <v>591</v>
      </c>
      <c r="AH10" s="1012" t="s">
        <v>591</v>
      </c>
      <c r="AI10" s="1012" t="s">
        <v>591</v>
      </c>
      <c r="AJ10" s="1012" t="s">
        <v>591</v>
      </c>
      <c r="AK10" s="1012" t="s">
        <v>591</v>
      </c>
      <c r="AL10" s="1004"/>
    </row>
    <row r="11" spans="1:38">
      <c r="C11" s="1013"/>
      <c r="D11" s="1014"/>
      <c r="E11" s="1014"/>
      <c r="F11" s="1014"/>
      <c r="G11" s="1014"/>
      <c r="H11" s="1014"/>
      <c r="I11" s="1014"/>
      <c r="J11" s="1014"/>
      <c r="K11" s="1014"/>
      <c r="L11" s="1014"/>
      <c r="M11" s="1014"/>
      <c r="N11" s="1014"/>
      <c r="O11" s="1014"/>
      <c r="P11" s="1014"/>
      <c r="Q11" s="1014"/>
      <c r="R11" s="1014"/>
      <c r="S11" s="1014"/>
      <c r="T11" s="1014"/>
      <c r="U11" s="1014"/>
      <c r="V11" s="1014"/>
      <c r="W11" s="1014"/>
      <c r="X11" s="1014"/>
      <c r="Y11" s="1014"/>
      <c r="Z11" s="1014"/>
      <c r="AA11" s="1014"/>
      <c r="AB11" s="1014"/>
      <c r="AC11" s="1014"/>
      <c r="AD11" s="1014"/>
      <c r="AE11" s="1014"/>
      <c r="AF11" s="1014"/>
      <c r="AG11" s="1014"/>
      <c r="AH11" s="1014"/>
      <c r="AI11" s="1014"/>
      <c r="AJ11" s="1014"/>
      <c r="AK11" s="1014"/>
      <c r="AL11" s="1004"/>
    </row>
    <row r="12" spans="1:38">
      <c r="C12" s="1015" t="s">
        <v>592</v>
      </c>
      <c r="D12" s="1016">
        <v>15.899999999999997</v>
      </c>
      <c r="E12" s="1016">
        <v>37.5</v>
      </c>
      <c r="F12" s="1016">
        <v>4.1999999999999993</v>
      </c>
      <c r="G12" s="1016">
        <v>17.5</v>
      </c>
      <c r="H12" s="1016">
        <v>4.8</v>
      </c>
      <c r="I12" s="1016">
        <v>5.3000000000000007</v>
      </c>
      <c r="J12" s="1016">
        <v>0.4</v>
      </c>
      <c r="K12" s="1016">
        <v>4</v>
      </c>
      <c r="L12" s="1016">
        <v>2.6</v>
      </c>
      <c r="M12" s="1016">
        <v>10.799999999999999</v>
      </c>
      <c r="N12" s="1016">
        <v>2.6</v>
      </c>
      <c r="O12" s="1016">
        <v>1.4</v>
      </c>
      <c r="P12" s="1016">
        <v>1.2000000000000002</v>
      </c>
      <c r="Q12" s="1016">
        <v>0.7</v>
      </c>
      <c r="R12" s="1016">
        <v>3</v>
      </c>
      <c r="S12" s="1016">
        <v>6.3999999999999986</v>
      </c>
      <c r="T12" s="1016">
        <v>2.6</v>
      </c>
      <c r="U12" s="1016">
        <v>1</v>
      </c>
      <c r="V12" s="1016">
        <v>0.90000000000000013</v>
      </c>
      <c r="W12" s="1016">
        <v>5.9</v>
      </c>
      <c r="X12" s="1016">
        <v>1.7000000000000002</v>
      </c>
      <c r="Y12" s="1016">
        <v>4.1000000000000005</v>
      </c>
      <c r="Z12" s="1016">
        <v>22.099999999999998</v>
      </c>
      <c r="AA12" s="1016">
        <v>2.4</v>
      </c>
      <c r="AB12" s="1016">
        <v>13.4</v>
      </c>
      <c r="AC12" s="1016">
        <v>0.49999999999999889</v>
      </c>
      <c r="AD12" s="1016">
        <v>0.30000000000000004</v>
      </c>
      <c r="AE12" s="1016">
        <v>3.1999999999999997</v>
      </c>
      <c r="AF12" s="1016">
        <v>33.1</v>
      </c>
      <c r="AG12" s="1016">
        <v>14.1</v>
      </c>
      <c r="AH12" s="1016">
        <v>4.3</v>
      </c>
      <c r="AI12" s="1016">
        <v>-0.2</v>
      </c>
      <c r="AJ12" s="1016">
        <v>-2.7999999999999545</v>
      </c>
      <c r="AK12" s="1016">
        <v>224.90000000000003</v>
      </c>
      <c r="AL12" s="1017"/>
    </row>
    <row r="13" spans="1:38">
      <c r="C13" s="1015" t="s">
        <v>593</v>
      </c>
      <c r="D13" s="1018"/>
      <c r="E13" s="1018"/>
      <c r="F13" s="1018"/>
      <c r="G13" s="1018"/>
      <c r="H13" s="1018"/>
      <c r="I13" s="1018"/>
      <c r="J13" s="1018"/>
      <c r="K13" s="1018"/>
      <c r="L13" s="1018"/>
      <c r="M13" s="1018"/>
      <c r="N13" s="1018"/>
      <c r="O13" s="1018"/>
      <c r="P13" s="1018"/>
      <c r="Q13" s="1018"/>
      <c r="R13" s="1018"/>
      <c r="S13" s="1018"/>
      <c r="T13" s="1018"/>
      <c r="U13" s="1018"/>
      <c r="V13" s="1018"/>
      <c r="W13" s="1018"/>
      <c r="X13" s="1018"/>
      <c r="Y13" s="1018"/>
      <c r="Z13" s="1018"/>
      <c r="AA13" s="1018"/>
      <c r="AB13" s="1018"/>
      <c r="AC13" s="1018"/>
      <c r="AD13" s="1018"/>
      <c r="AE13" s="1018"/>
      <c r="AF13" s="1018"/>
      <c r="AG13" s="1018"/>
      <c r="AH13" s="1018"/>
      <c r="AI13" s="1018"/>
      <c r="AJ13" s="1018"/>
      <c r="AK13" s="1019"/>
      <c r="AL13" s="1017"/>
    </row>
    <row r="14" spans="1:38">
      <c r="C14" s="1015" t="s">
        <v>592</v>
      </c>
      <c r="D14" s="1016"/>
      <c r="E14" s="1016"/>
      <c r="F14" s="1016"/>
      <c r="G14" s="1016"/>
      <c r="H14" s="1016"/>
      <c r="I14" s="1016"/>
      <c r="J14" s="1016"/>
      <c r="K14" s="1016"/>
      <c r="L14" s="1016"/>
      <c r="M14" s="1016"/>
      <c r="N14" s="1016"/>
      <c r="O14" s="1016"/>
      <c r="P14" s="1016"/>
      <c r="Q14" s="1016"/>
      <c r="R14" s="1016"/>
      <c r="S14" s="1016"/>
      <c r="T14" s="1016"/>
      <c r="U14" s="1016"/>
      <c r="V14" s="1016"/>
      <c r="W14" s="1016"/>
      <c r="X14" s="1016"/>
      <c r="Y14" s="1016"/>
      <c r="Z14" s="1016"/>
      <c r="AA14" s="1016"/>
      <c r="AB14" s="1016"/>
      <c r="AC14" s="1016"/>
      <c r="AD14" s="1016"/>
      <c r="AE14" s="1016"/>
      <c r="AF14" s="1016"/>
      <c r="AG14" s="1016"/>
      <c r="AH14" s="1016"/>
      <c r="AI14" s="1016"/>
      <c r="AJ14" s="1016"/>
      <c r="AK14" s="1016"/>
      <c r="AL14" s="1017"/>
    </row>
    <row r="15" spans="1:38">
      <c r="C15" s="1015"/>
      <c r="D15" s="1016"/>
      <c r="E15" s="1016"/>
      <c r="F15" s="1016"/>
      <c r="G15" s="1016"/>
      <c r="H15" s="1016"/>
      <c r="I15" s="1016"/>
      <c r="J15" s="1016"/>
      <c r="K15" s="1016"/>
      <c r="L15" s="1016"/>
      <c r="M15" s="1016"/>
      <c r="N15" s="1016"/>
      <c r="O15" s="1016"/>
      <c r="P15" s="1016"/>
      <c r="Q15" s="1016"/>
      <c r="R15" s="1016"/>
      <c r="S15" s="1016"/>
      <c r="T15" s="1016"/>
      <c r="U15" s="1016"/>
      <c r="V15" s="1016"/>
      <c r="W15" s="1016"/>
      <c r="X15" s="1016"/>
      <c r="Y15" s="1016"/>
      <c r="Z15" s="1016"/>
      <c r="AA15" s="1016"/>
      <c r="AB15" s="1016"/>
      <c r="AC15" s="1016"/>
      <c r="AD15" s="1016"/>
      <c r="AE15" s="1016"/>
      <c r="AF15" s="1016"/>
      <c r="AG15" s="1016"/>
      <c r="AH15" s="1016"/>
      <c r="AI15" s="1016"/>
      <c r="AJ15" s="1016"/>
      <c r="AK15" s="1016"/>
      <c r="AL15" s="1017"/>
    </row>
    <row r="16" spans="1:38">
      <c r="C16" s="1015" t="s">
        <v>594</v>
      </c>
      <c r="D16" s="1016"/>
      <c r="E16" s="1016"/>
      <c r="F16" s="1016"/>
      <c r="G16" s="1016"/>
      <c r="H16" s="1016"/>
      <c r="I16" s="1016"/>
      <c r="J16" s="1016"/>
      <c r="K16" s="1016"/>
      <c r="L16" s="1016"/>
      <c r="M16" s="1016"/>
      <c r="N16" s="1016"/>
      <c r="O16" s="1016"/>
      <c r="P16" s="1016"/>
      <c r="Q16" s="1016"/>
      <c r="R16" s="1016"/>
      <c r="S16" s="1016"/>
      <c r="T16" s="1016"/>
      <c r="U16" s="1016"/>
      <c r="V16" s="1016"/>
      <c r="W16" s="1016"/>
      <c r="X16" s="1016"/>
      <c r="Y16" s="1016"/>
      <c r="Z16" s="1016"/>
      <c r="AA16" s="1016"/>
      <c r="AB16" s="1016"/>
      <c r="AC16" s="1016"/>
      <c r="AD16" s="1016"/>
      <c r="AE16" s="1016"/>
      <c r="AF16" s="1016"/>
      <c r="AG16" s="1016"/>
      <c r="AH16" s="1016"/>
      <c r="AI16" s="1016"/>
      <c r="AJ16" s="1016"/>
      <c r="AK16" s="1016"/>
      <c r="AL16" s="1020"/>
    </row>
    <row r="17" spans="3:38">
      <c r="C17" s="1015"/>
      <c r="D17" s="1016"/>
      <c r="E17" s="1016"/>
      <c r="F17" s="1016"/>
      <c r="G17" s="1016"/>
      <c r="H17" s="1016"/>
      <c r="I17" s="1016"/>
      <c r="J17" s="1016"/>
      <c r="K17" s="1016"/>
      <c r="L17" s="1016"/>
      <c r="M17" s="1016"/>
      <c r="N17" s="1016"/>
      <c r="O17" s="1016"/>
      <c r="P17" s="1016"/>
      <c r="Q17" s="1016"/>
      <c r="R17" s="1016"/>
      <c r="S17" s="1016"/>
      <c r="T17" s="1016"/>
      <c r="U17" s="1016"/>
      <c r="V17" s="1016"/>
      <c r="W17" s="1016"/>
      <c r="X17" s="1016"/>
      <c r="Y17" s="1016"/>
      <c r="Z17" s="1016"/>
      <c r="AA17" s="1016"/>
      <c r="AB17" s="1016"/>
      <c r="AC17" s="1016"/>
      <c r="AD17" s="1016"/>
      <c r="AE17" s="1016"/>
      <c r="AF17" s="1016"/>
      <c r="AG17" s="1016"/>
      <c r="AH17" s="1016"/>
      <c r="AI17" s="1016"/>
      <c r="AJ17" s="1016"/>
      <c r="AK17" s="1016"/>
      <c r="AL17" s="1020"/>
    </row>
    <row r="18" spans="3:38">
      <c r="C18" s="1015" t="s">
        <v>595</v>
      </c>
      <c r="D18" s="1016"/>
      <c r="E18" s="1016"/>
      <c r="F18" s="1016"/>
      <c r="G18" s="1016"/>
      <c r="H18" s="1016"/>
      <c r="I18" s="1016"/>
      <c r="J18" s="1016"/>
      <c r="K18" s="1016"/>
      <c r="L18" s="1016"/>
      <c r="M18" s="1016"/>
      <c r="N18" s="1016"/>
      <c r="O18" s="1016"/>
      <c r="P18" s="1016"/>
      <c r="Q18" s="1016"/>
      <c r="R18" s="1016"/>
      <c r="S18" s="1016"/>
      <c r="T18" s="1016"/>
      <c r="U18" s="1016"/>
      <c r="V18" s="1016"/>
      <c r="W18" s="1016"/>
      <c r="X18" s="1016"/>
      <c r="Y18" s="1016"/>
      <c r="Z18" s="1016"/>
      <c r="AA18" s="1016"/>
      <c r="AB18" s="1016"/>
      <c r="AC18" s="1016"/>
      <c r="AD18" s="1016"/>
      <c r="AE18" s="1016"/>
      <c r="AF18" s="1016"/>
      <c r="AG18" s="1016"/>
      <c r="AH18" s="1016"/>
      <c r="AI18" s="1016"/>
      <c r="AJ18" s="1016"/>
      <c r="AK18" s="1016"/>
      <c r="AL18" s="1020"/>
    </row>
    <row r="19" spans="3:38">
      <c r="C19" s="1021"/>
      <c r="D19" s="1022"/>
      <c r="E19" s="1022"/>
      <c r="F19" s="1022"/>
      <c r="G19" s="1022"/>
      <c r="H19" s="1022"/>
      <c r="I19" s="1022"/>
      <c r="J19" s="1022"/>
      <c r="K19" s="1022"/>
      <c r="L19" s="1022"/>
      <c r="M19" s="1022"/>
      <c r="N19" s="1022"/>
      <c r="O19" s="1022"/>
      <c r="P19" s="1022"/>
      <c r="Q19" s="1022"/>
      <c r="R19" s="1022"/>
      <c r="S19" s="1022"/>
      <c r="T19" s="1022"/>
      <c r="U19" s="1022"/>
      <c r="V19" s="1022"/>
      <c r="W19" s="1022"/>
      <c r="X19" s="1022"/>
      <c r="Y19" s="1022"/>
      <c r="Z19" s="1022"/>
      <c r="AA19" s="1022"/>
      <c r="AB19" s="1022"/>
      <c r="AC19" s="1022"/>
      <c r="AD19" s="1022"/>
      <c r="AE19" s="1022"/>
      <c r="AF19" s="1022"/>
      <c r="AG19" s="1022"/>
      <c r="AH19" s="1022"/>
      <c r="AI19" s="1022"/>
      <c r="AJ19" s="1022"/>
      <c r="AK19" s="1022"/>
      <c r="AL19" s="1017"/>
    </row>
    <row r="20" spans="3:38">
      <c r="C20" s="1003"/>
      <c r="D20" s="1023"/>
      <c r="E20" s="1023"/>
      <c r="F20" s="1023"/>
      <c r="G20" s="1023"/>
      <c r="H20" s="1023"/>
      <c r="I20" s="1023"/>
      <c r="J20" s="1023"/>
      <c r="K20" s="1023"/>
      <c r="L20" s="1023"/>
      <c r="M20" s="1023"/>
      <c r="N20" s="1023"/>
      <c r="O20" s="1023"/>
      <c r="P20" s="1023"/>
      <c r="Q20" s="1023"/>
      <c r="R20" s="1023"/>
      <c r="S20" s="1023"/>
      <c r="T20" s="1023"/>
      <c r="U20" s="1023"/>
      <c r="V20" s="1023"/>
      <c r="W20" s="1023"/>
      <c r="X20" s="1023"/>
      <c r="Y20" s="1023"/>
      <c r="Z20" s="1023"/>
      <c r="AA20" s="1023"/>
      <c r="AB20" s="1023"/>
      <c r="AC20" s="1023"/>
      <c r="AD20" s="1023"/>
      <c r="AE20" s="1023"/>
      <c r="AF20" s="1023"/>
      <c r="AG20" s="1023"/>
      <c r="AH20" s="1023"/>
      <c r="AI20" s="1023"/>
      <c r="AJ20" s="1023"/>
      <c r="AK20" s="1023"/>
      <c r="AL20" s="1017"/>
    </row>
    <row r="21" spans="3:38">
      <c r="C21" s="1024" t="s">
        <v>596</v>
      </c>
      <c r="D21" s="1024"/>
      <c r="E21" s="1024"/>
      <c r="F21" s="1025"/>
      <c r="G21" s="1026"/>
      <c r="H21" s="1026"/>
      <c r="I21" s="1026"/>
      <c r="J21" s="1026"/>
      <c r="K21" s="1026"/>
      <c r="L21" s="1026"/>
      <c r="M21" s="1026"/>
      <c r="N21" s="1026"/>
      <c r="O21" s="1026"/>
      <c r="P21" s="1026"/>
      <c r="Q21" s="1026"/>
      <c r="R21" s="1027"/>
      <c r="S21" s="1024"/>
      <c r="T21" s="1024"/>
      <c r="U21" s="1024"/>
      <c r="V21" s="1024"/>
      <c r="W21" s="1024"/>
      <c r="X21" s="1024"/>
      <c r="Y21" s="1024"/>
      <c r="Z21" s="1024"/>
      <c r="AA21" s="1024"/>
      <c r="AB21" s="1023"/>
      <c r="AC21" s="1023"/>
      <c r="AD21" s="1023"/>
      <c r="AE21" s="1023"/>
      <c r="AF21" s="1023"/>
      <c r="AG21" s="1023"/>
      <c r="AH21" s="1023"/>
      <c r="AI21" s="1023"/>
      <c r="AJ21" s="1023"/>
      <c r="AK21" s="1023"/>
      <c r="AL21" s="1017"/>
    </row>
    <row r="22" spans="3:38">
      <c r="C22" s="1024">
        <v>1</v>
      </c>
      <c r="D22" s="1610" t="s">
        <v>597</v>
      </c>
      <c r="E22" s="1611"/>
      <c r="F22" s="1611"/>
      <c r="G22" s="1611"/>
      <c r="H22" s="1611"/>
      <c r="I22" s="1611"/>
      <c r="J22" s="1611"/>
      <c r="K22" s="1611"/>
      <c r="L22" s="1611"/>
      <c r="M22" s="1611"/>
      <c r="N22" s="1611"/>
      <c r="O22" s="1611"/>
      <c r="P22" s="1611"/>
      <c r="Q22" s="1611"/>
      <c r="R22" s="1611"/>
      <c r="S22" s="1611"/>
      <c r="T22" s="1611"/>
      <c r="U22" s="1611"/>
      <c r="V22" s="1611"/>
      <c r="W22" s="1611"/>
      <c r="X22" s="1611"/>
      <c r="Y22" s="1611"/>
      <c r="Z22" s="1611"/>
      <c r="AA22" s="1611"/>
      <c r="AB22" s="1023"/>
      <c r="AC22" s="1023"/>
      <c r="AD22" s="1023"/>
      <c r="AE22" s="1023"/>
      <c r="AF22" s="1023"/>
      <c r="AG22" s="1023"/>
      <c r="AH22" s="1023"/>
      <c r="AI22" s="1023"/>
      <c r="AJ22" s="1023"/>
      <c r="AK22" s="1023"/>
      <c r="AL22" s="1017"/>
    </row>
    <row r="23" spans="3:38">
      <c r="C23" s="1024">
        <v>2</v>
      </c>
      <c r="D23" s="1610" t="s">
        <v>598</v>
      </c>
      <c r="E23" s="1611"/>
      <c r="F23" s="1611"/>
      <c r="G23" s="1611"/>
      <c r="H23" s="1611"/>
      <c r="I23" s="1611"/>
      <c r="J23" s="1611"/>
      <c r="K23" s="1611"/>
      <c r="L23" s="1611"/>
      <c r="M23" s="1611"/>
      <c r="N23" s="1611"/>
      <c r="O23" s="1611"/>
      <c r="P23" s="1611"/>
      <c r="Q23" s="1611"/>
      <c r="R23" s="1611"/>
      <c r="S23" s="1611"/>
      <c r="T23" s="1611"/>
      <c r="U23" s="1611"/>
      <c r="V23" s="1611"/>
      <c r="W23" s="1611"/>
      <c r="X23" s="1611"/>
      <c r="Y23" s="1611"/>
      <c r="Z23" s="1611"/>
      <c r="AA23" s="1611"/>
      <c r="AB23" s="1023"/>
      <c r="AC23" s="1023"/>
      <c r="AD23" s="1023"/>
      <c r="AE23" s="1023"/>
      <c r="AF23" s="1023"/>
      <c r="AG23" s="1023"/>
      <c r="AH23" s="1023"/>
      <c r="AI23" s="1023"/>
      <c r="AJ23" s="1023"/>
      <c r="AK23" s="1023"/>
      <c r="AL23" s="1017"/>
    </row>
    <row r="24" spans="3:38">
      <c r="C24" s="1024">
        <v>3</v>
      </c>
      <c r="D24" s="1610" t="s">
        <v>599</v>
      </c>
      <c r="E24" s="1611"/>
      <c r="F24" s="1611"/>
      <c r="G24" s="1611"/>
      <c r="H24" s="1611"/>
      <c r="I24" s="1611"/>
      <c r="J24" s="1611"/>
      <c r="K24" s="1611"/>
      <c r="L24" s="1611"/>
      <c r="M24" s="1611"/>
      <c r="N24" s="1611"/>
      <c r="O24" s="1611"/>
      <c r="P24" s="1611"/>
      <c r="Q24" s="1611"/>
      <c r="R24" s="1611"/>
      <c r="S24" s="1611"/>
      <c r="T24" s="1611"/>
      <c r="U24" s="1611"/>
      <c r="V24" s="1611"/>
      <c r="W24" s="1611"/>
      <c r="X24" s="1611"/>
      <c r="Y24" s="1611"/>
      <c r="Z24" s="1611"/>
      <c r="AA24" s="1611"/>
      <c r="AB24" s="1023"/>
      <c r="AC24" s="1023"/>
      <c r="AD24" s="1023"/>
      <c r="AE24" s="1023"/>
      <c r="AF24" s="1023"/>
      <c r="AG24" s="1023"/>
      <c r="AH24" s="1023"/>
      <c r="AI24" s="1023"/>
      <c r="AJ24" s="1023"/>
      <c r="AK24" s="1023"/>
      <c r="AL24" s="1017"/>
    </row>
    <row r="25" spans="3:38">
      <c r="C25" s="1024">
        <v>4</v>
      </c>
      <c r="D25" s="1610" t="s">
        <v>600</v>
      </c>
      <c r="E25" s="1611"/>
      <c r="F25" s="1611"/>
      <c r="G25" s="1611"/>
      <c r="H25" s="1611"/>
      <c r="I25" s="1611"/>
      <c r="J25" s="1611"/>
      <c r="K25" s="1611"/>
      <c r="L25" s="1611"/>
      <c r="M25" s="1611"/>
      <c r="N25" s="1611"/>
      <c r="O25" s="1611"/>
      <c r="P25" s="1611"/>
      <c r="Q25" s="1611"/>
      <c r="R25" s="1611"/>
      <c r="S25" s="1611"/>
      <c r="T25" s="1611"/>
      <c r="U25" s="1611"/>
      <c r="V25" s="1611"/>
      <c r="W25" s="1611"/>
      <c r="X25" s="1611"/>
      <c r="Y25" s="1611"/>
      <c r="Z25" s="1611"/>
      <c r="AA25" s="1611"/>
      <c r="AB25" s="1023"/>
      <c r="AC25" s="1023"/>
      <c r="AD25" s="1023"/>
      <c r="AE25" s="1023"/>
      <c r="AF25" s="1023"/>
      <c r="AG25" s="1023"/>
      <c r="AH25" s="1023"/>
      <c r="AI25" s="1023"/>
      <c r="AJ25" s="1023"/>
      <c r="AK25" s="1023"/>
      <c r="AL25" s="1017"/>
    </row>
    <row r="26" spans="3:38">
      <c r="C26" s="1024">
        <v>5</v>
      </c>
      <c r="D26" s="1610" t="s">
        <v>601</v>
      </c>
      <c r="E26" s="1611"/>
      <c r="F26" s="1611"/>
      <c r="G26" s="1611"/>
      <c r="H26" s="1611"/>
      <c r="I26" s="1611"/>
      <c r="J26" s="1611"/>
      <c r="K26" s="1611"/>
      <c r="L26" s="1611"/>
      <c r="M26" s="1611"/>
      <c r="N26" s="1611"/>
      <c r="O26" s="1611"/>
      <c r="P26" s="1611"/>
      <c r="Q26" s="1611"/>
      <c r="R26" s="1611"/>
      <c r="S26" s="1611"/>
      <c r="T26" s="1611"/>
      <c r="U26" s="1611"/>
      <c r="V26" s="1611"/>
      <c r="W26" s="1611"/>
      <c r="X26" s="1611"/>
      <c r="Y26" s="1611"/>
      <c r="Z26" s="1611"/>
      <c r="AA26" s="1611"/>
      <c r="AB26" s="1023"/>
      <c r="AC26" s="1023"/>
      <c r="AD26" s="1023"/>
      <c r="AE26" s="1023"/>
      <c r="AF26" s="1023"/>
      <c r="AG26" s="1023"/>
      <c r="AH26" s="1023"/>
      <c r="AI26" s="1023"/>
      <c r="AJ26" s="1023"/>
      <c r="AK26" s="1023"/>
      <c r="AL26" s="1017"/>
    </row>
    <row r="27" spans="3:38">
      <c r="C27" s="1028"/>
      <c r="D27" s="1029"/>
      <c r="E27" s="1029"/>
      <c r="F27" s="1029"/>
      <c r="G27" s="1029"/>
      <c r="H27" s="1029"/>
      <c r="I27" s="1029"/>
      <c r="J27" s="1029"/>
      <c r="K27" s="1029"/>
      <c r="L27" s="1029"/>
      <c r="M27" s="1029"/>
      <c r="N27" s="1029"/>
      <c r="O27" s="1029"/>
      <c r="P27" s="1029"/>
      <c r="Q27" s="1029"/>
      <c r="R27" s="1029"/>
      <c r="S27" s="1029"/>
      <c r="T27" s="1029"/>
      <c r="U27" s="1029"/>
      <c r="V27" s="1029"/>
      <c r="W27" s="1029"/>
      <c r="X27" s="1029"/>
      <c r="Y27" s="1029"/>
      <c r="Z27" s="1029"/>
      <c r="AA27" s="1029"/>
      <c r="AB27" s="1029"/>
      <c r="AC27" s="1029"/>
      <c r="AD27" s="1029"/>
      <c r="AE27" s="1029"/>
      <c r="AF27" s="1029"/>
      <c r="AG27" s="1029"/>
      <c r="AH27" s="1029"/>
      <c r="AI27" s="1029"/>
      <c r="AJ27" s="1029"/>
      <c r="AK27" s="1029"/>
      <c r="AL27" s="1030"/>
    </row>
  </sheetData>
  <mergeCells count="21">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 ref="Y7:Y9"/>
    <mergeCell ref="Z7:Z9"/>
    <mergeCell ref="AA7:AA9"/>
    <mergeCell ref="AB7:AB9"/>
    <mergeCell ref="AC7:AC9"/>
  </mergeCells>
  <phoneticPr fontId="1" type="noConversion"/>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5FFFF"/>
    <pageSetUpPr fitToPage="1"/>
  </sheetPr>
  <dimension ref="A1:R51"/>
  <sheetViews>
    <sheetView workbookViewId="0">
      <selection sqref="A1:XFD1048576"/>
    </sheetView>
  </sheetViews>
  <sheetFormatPr defaultColWidth="8.85546875" defaultRowHeight="12.75"/>
  <cols>
    <col min="1" max="1" width="11.42578125" style="111" customWidth="1"/>
    <col min="2" max="2" width="8.85546875" style="111" customWidth="1"/>
    <col min="3" max="3" width="29.85546875" style="111" customWidth="1"/>
    <col min="4" max="4" width="8.85546875" style="111" customWidth="1"/>
    <col min="5" max="5" width="25.42578125" style="111" customWidth="1"/>
    <col min="6" max="6" width="13.42578125" style="111" customWidth="1"/>
    <col min="7" max="7" width="10" style="111" bestFit="1" customWidth="1"/>
    <col min="8" max="10" width="8.85546875" style="111"/>
    <col min="11" max="11" width="9.42578125" style="111" customWidth="1"/>
    <col min="12" max="12" width="8.85546875" style="111"/>
    <col min="13" max="17" width="12.42578125" style="111" customWidth="1"/>
    <col min="18" max="16384" width="8.85546875" style="111"/>
  </cols>
  <sheetData>
    <row r="1" spans="1:18" ht="18" customHeight="1">
      <c r="A1" s="1031" t="s">
        <v>551</v>
      </c>
      <c r="E1" s="1032"/>
    </row>
    <row r="2" spans="1:18">
      <c r="A2" s="1031"/>
    </row>
    <row r="3" spans="1:18" ht="18" customHeight="1">
      <c r="A3" s="1031" t="s">
        <v>101</v>
      </c>
    </row>
    <row r="5" spans="1:18" ht="17.25" customHeight="1">
      <c r="A5" s="1033" t="s">
        <v>602</v>
      </c>
      <c r="B5" s="1034"/>
      <c r="C5" s="1034"/>
      <c r="D5" s="1035"/>
      <c r="E5" s="1034"/>
      <c r="F5" s="1034"/>
      <c r="G5" s="1034"/>
      <c r="H5" s="1034"/>
      <c r="I5" s="1034"/>
      <c r="J5" s="1034"/>
      <c r="K5" s="1034"/>
      <c r="L5" s="1034"/>
      <c r="M5" s="1034"/>
      <c r="N5" s="1034"/>
      <c r="O5" s="1034"/>
      <c r="P5" s="1034"/>
      <c r="Q5" s="1034"/>
      <c r="R5" s="1034"/>
    </row>
    <row r="6" spans="1:18" ht="18" customHeight="1" thickBot="1">
      <c r="A6" s="1034"/>
      <c r="B6" s="1034"/>
      <c r="C6" s="1034"/>
      <c r="D6" s="1035"/>
      <c r="E6" s="1034"/>
      <c r="F6" s="1034"/>
      <c r="G6" s="1034"/>
      <c r="H6" s="1034"/>
      <c r="I6" s="1034"/>
      <c r="J6" s="1034"/>
      <c r="K6" s="1034"/>
      <c r="L6" s="1034"/>
      <c r="R6" s="1034"/>
    </row>
    <row r="7" spans="1:18" s="1039" customFormat="1" ht="18" customHeight="1" thickBot="1">
      <c r="A7" s="1036"/>
      <c r="B7" s="1036"/>
      <c r="C7" s="1036"/>
      <c r="D7" s="1037"/>
      <c r="E7" s="1630" t="s">
        <v>603</v>
      </c>
      <c r="F7" s="1631"/>
      <c r="G7" s="1632"/>
      <c r="H7" s="1038"/>
      <c r="I7" s="1633" t="s">
        <v>604</v>
      </c>
      <c r="J7" s="1634"/>
      <c r="K7" s="1635"/>
      <c r="L7" s="1036"/>
      <c r="M7" s="1636" t="s">
        <v>605</v>
      </c>
      <c r="N7" s="1637"/>
      <c r="O7" s="1637"/>
      <c r="P7" s="1637"/>
      <c r="Q7" s="1638"/>
      <c r="R7" s="1037"/>
    </row>
    <row r="8" spans="1:18" ht="27.75" customHeight="1" thickBot="1">
      <c r="A8" s="1040"/>
      <c r="B8" s="1040"/>
      <c r="C8" s="1040"/>
      <c r="D8" s="1041"/>
      <c r="E8" s="1639" t="s">
        <v>606</v>
      </c>
      <c r="F8" s="1640"/>
      <c r="G8" s="1641"/>
      <c r="H8" s="1038"/>
      <c r="I8" s="1042" t="s">
        <v>606</v>
      </c>
      <c r="J8" s="1043"/>
      <c r="K8" s="1044" t="s">
        <v>607</v>
      </c>
      <c r="L8" s="1045"/>
      <c r="M8" s="1642" t="s">
        <v>603</v>
      </c>
      <c r="N8" s="1643"/>
      <c r="O8" s="1644"/>
      <c r="P8" s="1045"/>
      <c r="Q8" s="1046" t="s">
        <v>573</v>
      </c>
      <c r="R8" s="1047"/>
    </row>
    <row r="9" spans="1:18" ht="16.5" thickBot="1">
      <c r="A9" s="1624" t="s">
        <v>608</v>
      </c>
      <c r="B9" s="1625"/>
      <c r="C9" s="1626"/>
      <c r="D9" s="1048"/>
      <c r="E9" s="1049" t="s">
        <v>609</v>
      </c>
      <c r="F9" s="1050" t="s">
        <v>610</v>
      </c>
      <c r="G9" s="1051" t="s">
        <v>611</v>
      </c>
      <c r="H9" s="1052"/>
      <c r="I9" s="1053" t="s">
        <v>611</v>
      </c>
      <c r="J9" s="1054"/>
      <c r="K9" s="1055" t="s">
        <v>611</v>
      </c>
      <c r="L9" s="1045"/>
      <c r="M9" s="1056" t="s">
        <v>609</v>
      </c>
      <c r="N9" s="1057" t="s">
        <v>610</v>
      </c>
      <c r="O9" s="1058" t="s">
        <v>611</v>
      </c>
      <c r="P9" s="1045"/>
      <c r="Q9" s="1055" t="s">
        <v>611</v>
      </c>
      <c r="R9" s="1047"/>
    </row>
    <row r="10" spans="1:18" ht="16.5" thickBot="1">
      <c r="A10" s="1627"/>
      <c r="B10" s="1628"/>
      <c r="C10" s="1629"/>
      <c r="D10" s="1048"/>
      <c r="E10" s="1059" t="s">
        <v>591</v>
      </c>
      <c r="F10" s="1060" t="s">
        <v>591</v>
      </c>
      <c r="G10" s="1061" t="s">
        <v>591</v>
      </c>
      <c r="H10" s="1038"/>
      <c r="I10" s="1062"/>
      <c r="J10" s="1054"/>
      <c r="K10" s="1062"/>
      <c r="L10" s="1045"/>
      <c r="M10" s="1063" t="s">
        <v>591</v>
      </c>
      <c r="N10" s="1064" t="s">
        <v>591</v>
      </c>
      <c r="O10" s="1062" t="s">
        <v>591</v>
      </c>
      <c r="P10" s="1045"/>
      <c r="Q10" s="1062" t="s">
        <v>591</v>
      </c>
      <c r="R10" s="1047"/>
    </row>
    <row r="11" spans="1:18" ht="18" customHeight="1">
      <c r="A11" s="1652" t="s">
        <v>612</v>
      </c>
      <c r="B11" s="1654" t="s">
        <v>448</v>
      </c>
      <c r="C11" s="1655"/>
      <c r="D11" s="1065"/>
      <c r="E11" s="1656">
        <v>0.1</v>
      </c>
      <c r="F11" s="1658">
        <v>0</v>
      </c>
      <c r="G11" s="1660">
        <v>0.1</v>
      </c>
      <c r="H11" s="1066"/>
      <c r="I11" s="1067">
        <v>0.5</v>
      </c>
      <c r="J11" s="1041"/>
      <c r="K11" s="1067">
        <v>0</v>
      </c>
      <c r="L11" s="1047"/>
      <c r="M11" s="1047"/>
      <c r="N11" s="1047"/>
      <c r="O11" s="1047"/>
      <c r="P11" s="1047"/>
      <c r="Q11" s="1047"/>
      <c r="R11" s="1047"/>
    </row>
    <row r="12" spans="1:18" ht="18" customHeight="1">
      <c r="A12" s="1653"/>
      <c r="B12" s="1661" t="s">
        <v>449</v>
      </c>
      <c r="C12" s="1662"/>
      <c r="D12" s="1065"/>
      <c r="E12" s="1657"/>
      <c r="F12" s="1659"/>
      <c r="G12" s="1647"/>
      <c r="H12" s="1066"/>
      <c r="I12" s="1068">
        <v>3.6</v>
      </c>
      <c r="J12" s="1041"/>
      <c r="K12" s="1068">
        <v>0</v>
      </c>
      <c r="L12" s="1047"/>
      <c r="M12" s="1047"/>
      <c r="N12" s="1047"/>
      <c r="O12" s="1047"/>
      <c r="P12" s="1047"/>
      <c r="Q12" s="1047"/>
      <c r="R12" s="1047"/>
    </row>
    <row r="13" spans="1:18" ht="18" customHeight="1">
      <c r="A13" s="1652" t="s">
        <v>368</v>
      </c>
      <c r="B13" s="1664" t="s">
        <v>613</v>
      </c>
      <c r="C13" s="1665"/>
      <c r="D13" s="1065"/>
      <c r="E13" s="1069">
        <v>0</v>
      </c>
      <c r="F13" s="1070">
        <v>0.3</v>
      </c>
      <c r="G13" s="1071">
        <v>0.3</v>
      </c>
      <c r="H13" s="1066"/>
      <c r="I13" s="1068">
        <v>0.3</v>
      </c>
      <c r="J13" s="1041"/>
      <c r="K13" s="1068">
        <v>0</v>
      </c>
      <c r="L13" s="1047"/>
      <c r="M13" s="1047"/>
      <c r="N13" s="1047"/>
      <c r="O13" s="1047"/>
      <c r="P13" s="1047"/>
      <c r="Q13" s="1047"/>
      <c r="R13" s="1047"/>
    </row>
    <row r="14" spans="1:18" ht="18" customHeight="1">
      <c r="A14" s="1653"/>
      <c r="B14" s="1648" t="s">
        <v>614</v>
      </c>
      <c r="C14" s="1649"/>
      <c r="D14" s="1065"/>
      <c r="E14" s="1666">
        <v>0</v>
      </c>
      <c r="F14" s="1668">
        <v>0.1</v>
      </c>
      <c r="G14" s="1645">
        <v>0.1</v>
      </c>
      <c r="H14" s="1066"/>
      <c r="I14" s="1068">
        <v>1.8</v>
      </c>
      <c r="J14" s="1041"/>
      <c r="K14" s="1068">
        <v>0</v>
      </c>
      <c r="L14" s="1047"/>
      <c r="M14" s="1047"/>
      <c r="N14" s="1047"/>
      <c r="O14" s="1047"/>
      <c r="P14" s="1047"/>
      <c r="Q14" s="1047"/>
      <c r="R14" s="1047"/>
    </row>
    <row r="15" spans="1:18" ht="18" customHeight="1">
      <c r="A15" s="1653"/>
      <c r="B15" s="1648" t="s">
        <v>615</v>
      </c>
      <c r="C15" s="1649"/>
      <c r="D15" s="1065"/>
      <c r="E15" s="1667">
        <v>0</v>
      </c>
      <c r="F15" s="1669">
        <v>0</v>
      </c>
      <c r="G15" s="1646"/>
      <c r="H15" s="1066"/>
      <c r="I15" s="1068">
        <v>3.5</v>
      </c>
      <c r="J15" s="1041"/>
      <c r="K15" s="1068">
        <v>0</v>
      </c>
      <c r="L15" s="1047"/>
      <c r="M15" s="1047"/>
      <c r="N15" s="1047"/>
      <c r="O15" s="1047"/>
      <c r="P15" s="1047"/>
      <c r="Q15" s="1047"/>
      <c r="R15" s="1047"/>
    </row>
    <row r="16" spans="1:18" ht="18" customHeight="1" thickBot="1">
      <c r="A16" s="1663"/>
      <c r="B16" s="1650" t="s">
        <v>453</v>
      </c>
      <c r="C16" s="1651"/>
      <c r="D16" s="1065"/>
      <c r="E16" s="1657">
        <v>0</v>
      </c>
      <c r="F16" s="1659">
        <v>0</v>
      </c>
      <c r="G16" s="1647"/>
      <c r="H16" s="1066"/>
      <c r="I16" s="1072">
        <v>0.2</v>
      </c>
      <c r="J16" s="1041"/>
      <c r="K16" s="1072">
        <v>0</v>
      </c>
      <c r="L16" s="1047"/>
      <c r="M16" s="1047"/>
      <c r="N16" s="1047"/>
      <c r="O16" s="1047"/>
      <c r="P16" s="1047"/>
      <c r="Q16" s="1047"/>
      <c r="R16" s="1047"/>
    </row>
    <row r="17" spans="1:18" ht="18" customHeight="1">
      <c r="A17" s="1673" t="s">
        <v>616</v>
      </c>
      <c r="B17" s="1654" t="s">
        <v>454</v>
      </c>
      <c r="C17" s="1655"/>
      <c r="D17" s="1073"/>
      <c r="E17" s="1069">
        <v>0</v>
      </c>
      <c r="F17" s="1070">
        <v>0.2</v>
      </c>
      <c r="G17" s="1071">
        <v>0.2</v>
      </c>
      <c r="H17" s="1066"/>
      <c r="I17" s="1067">
        <v>1.3</v>
      </c>
      <c r="J17" s="1041"/>
      <c r="K17" s="1074">
        <v>0</v>
      </c>
      <c r="L17" s="1047"/>
      <c r="M17" s="1047"/>
      <c r="N17" s="1047"/>
      <c r="O17" s="1047"/>
      <c r="P17" s="1047"/>
      <c r="Q17" s="1047"/>
      <c r="R17" s="1047"/>
    </row>
    <row r="18" spans="1:18" ht="18" customHeight="1">
      <c r="A18" s="1674"/>
      <c r="B18" s="1676" t="s">
        <v>617</v>
      </c>
      <c r="C18" s="1677"/>
      <c r="D18" s="1075"/>
      <c r="E18" s="1076">
        <v>0</v>
      </c>
      <c r="F18" s="1077">
        <v>0</v>
      </c>
      <c r="G18" s="1078">
        <v>0</v>
      </c>
      <c r="H18" s="1066"/>
      <c r="I18" s="1068">
        <v>3.1</v>
      </c>
      <c r="J18" s="1041"/>
      <c r="K18" s="1068">
        <v>0</v>
      </c>
      <c r="L18" s="1047"/>
      <c r="M18" s="1047"/>
      <c r="N18" s="1047"/>
      <c r="O18" s="1047"/>
      <c r="P18" s="1047"/>
      <c r="Q18" s="1047"/>
      <c r="R18" s="1047"/>
    </row>
    <row r="19" spans="1:18" ht="18" customHeight="1" thickBot="1">
      <c r="A19" s="1675"/>
      <c r="B19" s="1678" t="s">
        <v>618</v>
      </c>
      <c r="C19" s="1679"/>
      <c r="D19" s="1073"/>
      <c r="E19" s="1079">
        <v>0.2</v>
      </c>
      <c r="F19" s="1080">
        <v>1.5</v>
      </c>
      <c r="G19" s="1081">
        <v>1.7</v>
      </c>
      <c r="H19" s="1066"/>
      <c r="I19" s="1072">
        <v>0.5</v>
      </c>
      <c r="J19" s="1041"/>
      <c r="K19" s="1082">
        <v>0</v>
      </c>
      <c r="L19" s="1047"/>
      <c r="M19" s="1047"/>
      <c r="N19" s="1047"/>
      <c r="O19" s="1047"/>
      <c r="P19" s="1047"/>
      <c r="Q19" s="1047"/>
      <c r="R19" s="1047"/>
    </row>
    <row r="20" spans="1:18" ht="18" customHeight="1">
      <c r="A20" s="1680" t="s">
        <v>427</v>
      </c>
      <c r="B20" s="1682" t="s">
        <v>454</v>
      </c>
      <c r="C20" s="1683"/>
      <c r="D20" s="1073"/>
      <c r="E20" s="1083">
        <v>0</v>
      </c>
      <c r="F20" s="1084">
        <v>0</v>
      </c>
      <c r="G20" s="1085">
        <v>0</v>
      </c>
      <c r="H20" s="1066"/>
      <c r="I20" s="1067">
        <v>0.1</v>
      </c>
      <c r="J20" s="1041"/>
      <c r="K20" s="1067">
        <v>0</v>
      </c>
      <c r="L20" s="1047"/>
      <c r="M20" s="1047"/>
      <c r="N20" s="1047"/>
      <c r="O20" s="1047"/>
      <c r="P20" s="1047"/>
      <c r="Q20" s="1047"/>
      <c r="R20" s="1047"/>
    </row>
    <row r="21" spans="1:18" ht="18" customHeight="1">
      <c r="A21" s="1673"/>
      <c r="B21" s="1086" t="s">
        <v>619</v>
      </c>
      <c r="C21" s="1087"/>
      <c r="D21" s="1065"/>
      <c r="E21" s="1069">
        <v>0.1</v>
      </c>
      <c r="F21" s="1070">
        <v>0.1</v>
      </c>
      <c r="G21" s="1071">
        <v>0.2</v>
      </c>
      <c r="H21" s="1066"/>
      <c r="I21" s="1074">
        <v>0.5</v>
      </c>
      <c r="J21" s="1041"/>
      <c r="K21" s="1074">
        <v>0</v>
      </c>
      <c r="L21" s="1047"/>
      <c r="M21" s="1047"/>
      <c r="N21" s="1047"/>
      <c r="O21" s="1047"/>
      <c r="P21" s="1047"/>
      <c r="Q21" s="1047"/>
      <c r="R21" s="1047"/>
    </row>
    <row r="22" spans="1:18" ht="18" customHeight="1">
      <c r="A22" s="1674"/>
      <c r="B22" s="1086" t="s">
        <v>620</v>
      </c>
      <c r="C22" s="1087"/>
      <c r="D22" s="1065"/>
      <c r="E22" s="1076">
        <v>0</v>
      </c>
      <c r="F22" s="1077">
        <v>0</v>
      </c>
      <c r="G22" s="1078">
        <v>0</v>
      </c>
      <c r="H22" s="1066"/>
      <c r="I22" s="1068">
        <v>0.2</v>
      </c>
      <c r="J22" s="1041"/>
      <c r="K22" s="1068">
        <v>0</v>
      </c>
      <c r="L22" s="1047"/>
      <c r="M22" s="1047"/>
      <c r="N22" s="1047"/>
      <c r="O22" s="1047"/>
      <c r="P22" s="1047"/>
      <c r="Q22" s="1047"/>
      <c r="R22" s="1047"/>
    </row>
    <row r="23" spans="1:18" ht="18" customHeight="1" thickBot="1">
      <c r="A23" s="1681"/>
      <c r="B23" s="1678" t="s">
        <v>618</v>
      </c>
      <c r="C23" s="1679"/>
      <c r="D23" s="1065"/>
      <c r="E23" s="1088">
        <v>0.3</v>
      </c>
      <c r="F23" s="1089">
        <v>1.0999999999999999</v>
      </c>
      <c r="G23" s="1090">
        <v>1.4</v>
      </c>
      <c r="H23" s="1066"/>
      <c r="I23" s="1072">
        <v>0.7</v>
      </c>
      <c r="J23" s="1041"/>
      <c r="K23" s="1072">
        <v>0</v>
      </c>
      <c r="L23" s="1047"/>
      <c r="M23" s="1047"/>
      <c r="N23" s="1047"/>
      <c r="O23" s="1047"/>
      <c r="P23" s="1047"/>
      <c r="Q23" s="1047"/>
      <c r="R23" s="1047"/>
    </row>
    <row r="24" spans="1:18" ht="18" customHeight="1">
      <c r="A24" s="1684" t="s">
        <v>426</v>
      </c>
      <c r="B24" s="1682" t="s">
        <v>454</v>
      </c>
      <c r="C24" s="1683"/>
      <c r="D24" s="1073"/>
      <c r="E24" s="1083">
        <v>0.1</v>
      </c>
      <c r="F24" s="1091">
        <v>0</v>
      </c>
      <c r="G24" s="1071">
        <v>0.1</v>
      </c>
      <c r="H24" s="1066"/>
      <c r="I24" s="1074">
        <v>0</v>
      </c>
      <c r="J24" s="1041"/>
      <c r="K24" s="1074">
        <v>0</v>
      </c>
      <c r="L24" s="1047"/>
      <c r="M24" s="1083">
        <v>0</v>
      </c>
      <c r="N24" s="1083">
        <v>0</v>
      </c>
      <c r="O24" s="1085">
        <v>0</v>
      </c>
      <c r="P24" s="1047"/>
      <c r="Q24" s="1067">
        <v>0</v>
      </c>
      <c r="R24" s="1047"/>
    </row>
    <row r="25" spans="1:18" ht="18" customHeight="1">
      <c r="A25" s="1685"/>
      <c r="B25" s="1086" t="s">
        <v>619</v>
      </c>
      <c r="C25" s="1092"/>
      <c r="D25" s="1065"/>
      <c r="E25" s="1076">
        <v>0</v>
      </c>
      <c r="F25" s="1093">
        <v>0</v>
      </c>
      <c r="G25" s="1078">
        <v>0</v>
      </c>
      <c r="H25" s="1066"/>
      <c r="I25" s="1068">
        <v>0.1</v>
      </c>
      <c r="J25" s="1041"/>
      <c r="K25" s="1068">
        <v>0</v>
      </c>
      <c r="L25" s="1047"/>
      <c r="M25" s="1076">
        <v>0</v>
      </c>
      <c r="N25" s="1076">
        <v>0</v>
      </c>
      <c r="O25" s="1078">
        <v>0</v>
      </c>
      <c r="P25" s="1047"/>
      <c r="Q25" s="1068">
        <v>0</v>
      </c>
      <c r="R25" s="1047"/>
    </row>
    <row r="26" spans="1:18" ht="18" customHeight="1">
      <c r="A26" s="1685"/>
      <c r="B26" s="1086" t="s">
        <v>620</v>
      </c>
      <c r="C26" s="1092"/>
      <c r="D26" s="1065"/>
      <c r="E26" s="1076">
        <v>0</v>
      </c>
      <c r="F26" s="1093">
        <v>0</v>
      </c>
      <c r="G26" s="1078">
        <v>0</v>
      </c>
      <c r="H26" s="1066"/>
      <c r="I26" s="1068">
        <v>0</v>
      </c>
      <c r="J26" s="1041"/>
      <c r="K26" s="1068">
        <v>0</v>
      </c>
      <c r="L26" s="1047"/>
      <c r="M26" s="1076">
        <v>0</v>
      </c>
      <c r="N26" s="1076">
        <v>0</v>
      </c>
      <c r="O26" s="1078">
        <v>0</v>
      </c>
      <c r="P26" s="1047"/>
      <c r="Q26" s="1068">
        <v>0</v>
      </c>
      <c r="R26" s="1047"/>
    </row>
    <row r="27" spans="1:18" ht="18" customHeight="1" thickBot="1">
      <c r="A27" s="1685"/>
      <c r="B27" s="1678" t="s">
        <v>618</v>
      </c>
      <c r="C27" s="1679"/>
      <c r="D27" s="1065"/>
      <c r="E27" s="1079">
        <v>0</v>
      </c>
      <c r="F27" s="1094">
        <v>0.3</v>
      </c>
      <c r="G27" s="1081">
        <v>0.3</v>
      </c>
      <c r="H27" s="1066"/>
      <c r="I27" s="1082">
        <v>0</v>
      </c>
      <c r="J27" s="1041"/>
      <c r="K27" s="1082">
        <v>0</v>
      </c>
      <c r="L27" s="1047"/>
      <c r="M27" s="1088">
        <v>0</v>
      </c>
      <c r="N27" s="1088">
        <v>0</v>
      </c>
      <c r="O27" s="1090">
        <v>0</v>
      </c>
      <c r="P27" s="1047"/>
      <c r="Q27" s="1072">
        <v>0</v>
      </c>
      <c r="R27" s="1047"/>
    </row>
    <row r="28" spans="1:18" ht="18" customHeight="1" thickBot="1">
      <c r="A28" s="1670" t="s">
        <v>621</v>
      </c>
      <c r="B28" s="1671"/>
      <c r="C28" s="1672"/>
      <c r="D28" s="1065"/>
      <c r="E28" s="1095">
        <v>0</v>
      </c>
      <c r="F28" s="1096">
        <v>0</v>
      </c>
      <c r="G28" s="1097">
        <v>0</v>
      </c>
      <c r="H28" s="1066"/>
      <c r="I28" s="1098">
        <v>0</v>
      </c>
      <c r="J28" s="1041"/>
      <c r="K28" s="1098">
        <v>0</v>
      </c>
      <c r="L28" s="1047"/>
      <c r="M28" s="1095">
        <v>0</v>
      </c>
      <c r="N28" s="1095">
        <v>0</v>
      </c>
      <c r="O28" s="1097">
        <v>0</v>
      </c>
      <c r="P28" s="1047"/>
      <c r="Q28" s="1098">
        <v>0</v>
      </c>
      <c r="R28" s="1047"/>
    </row>
    <row r="29" spans="1:18" ht="18" customHeight="1" thickBot="1">
      <c r="A29" s="1670" t="s">
        <v>622</v>
      </c>
      <c r="B29" s="1671"/>
      <c r="C29" s="1672"/>
      <c r="D29" s="1099"/>
      <c r="E29" s="1100"/>
      <c r="F29" s="1101"/>
      <c r="G29" s="1102"/>
      <c r="H29" s="1103"/>
      <c r="I29" s="1104">
        <v>3.1</v>
      </c>
      <c r="J29" s="1041"/>
      <c r="K29" s="1104">
        <v>0</v>
      </c>
      <c r="L29" s="1105"/>
      <c r="M29" s="1106"/>
      <c r="N29" s="1107"/>
      <c r="O29" s="1102"/>
      <c r="P29" s="1105"/>
      <c r="Q29" s="1108"/>
      <c r="R29" s="1105"/>
    </row>
    <row r="30" spans="1:18" ht="18" customHeight="1" thickBot="1">
      <c r="A30" s="1670" t="s">
        <v>623</v>
      </c>
      <c r="B30" s="1671"/>
      <c r="C30" s="1672"/>
      <c r="D30" s="1099"/>
      <c r="E30" s="1100"/>
      <c r="F30" s="1109">
        <v>0</v>
      </c>
      <c r="G30" s="1081">
        <v>0</v>
      </c>
      <c r="H30" s="1103"/>
      <c r="I30" s="1110"/>
      <c r="J30" s="1041"/>
      <c r="K30" s="1111">
        <v>0</v>
      </c>
      <c r="L30" s="1105"/>
      <c r="M30" s="1100"/>
      <c r="N30" s="1101"/>
      <c r="O30" s="1102"/>
      <c r="P30" s="1105"/>
      <c r="Q30" s="1112"/>
      <c r="R30" s="1105"/>
    </row>
    <row r="31" spans="1:18" ht="18" customHeight="1" thickBot="1">
      <c r="A31" s="1670" t="s">
        <v>624</v>
      </c>
      <c r="B31" s="1671"/>
      <c r="C31" s="1672"/>
      <c r="D31" s="1099"/>
      <c r="E31" s="1100"/>
      <c r="F31" s="1109">
        <v>0</v>
      </c>
      <c r="G31" s="1097">
        <v>0</v>
      </c>
      <c r="H31" s="1103"/>
      <c r="I31" s="1110"/>
      <c r="J31" s="1041"/>
      <c r="K31" s="1111">
        <v>0</v>
      </c>
      <c r="L31" s="1105"/>
      <c r="M31" s="1100"/>
      <c r="N31" s="1101"/>
      <c r="O31" s="1102"/>
      <c r="P31" s="1105"/>
      <c r="Q31" s="1112"/>
      <c r="R31" s="1105"/>
    </row>
    <row r="32" spans="1:18" ht="18" customHeight="1" thickBot="1">
      <c r="A32" s="1670" t="s">
        <v>625</v>
      </c>
      <c r="B32" s="1671"/>
      <c r="C32" s="1672"/>
      <c r="D32" s="1099"/>
      <c r="E32" s="1100"/>
      <c r="F32" s="1101"/>
      <c r="G32" s="1102"/>
      <c r="H32" s="1103"/>
      <c r="I32" s="1104">
        <v>-2</v>
      </c>
      <c r="J32" s="1041"/>
      <c r="K32" s="1111">
        <v>0</v>
      </c>
      <c r="L32" s="1105"/>
      <c r="M32" s="1100"/>
      <c r="N32" s="1101"/>
      <c r="O32" s="1102"/>
      <c r="P32" s="1105"/>
      <c r="Q32" s="1112"/>
      <c r="R32" s="1105"/>
    </row>
    <row r="33" spans="1:18" ht="18" customHeight="1" thickBot="1">
      <c r="A33" s="1670" t="s">
        <v>626</v>
      </c>
      <c r="B33" s="1671"/>
      <c r="C33" s="1672"/>
      <c r="D33" s="1099"/>
      <c r="E33" s="1100"/>
      <c r="F33" s="1113">
        <v>0.4</v>
      </c>
      <c r="G33" s="1097">
        <v>0.4</v>
      </c>
      <c r="H33" s="1103"/>
      <c r="I33" s="1111"/>
      <c r="J33" s="1041"/>
      <c r="K33" s="1111">
        <v>0</v>
      </c>
      <c r="L33" s="1105"/>
      <c r="M33" s="1100"/>
      <c r="N33" s="1101"/>
      <c r="O33" s="1102"/>
      <c r="P33" s="1105"/>
      <c r="Q33" s="1112"/>
      <c r="R33" s="1105"/>
    </row>
    <row r="34" spans="1:18" ht="18" customHeight="1" thickBot="1">
      <c r="A34" s="1688" t="s">
        <v>220</v>
      </c>
      <c r="B34" s="1689"/>
      <c r="C34" s="1690"/>
      <c r="D34" s="1114"/>
      <c r="E34" s="1115">
        <v>0.79999999999999993</v>
      </c>
      <c r="F34" s="1115">
        <v>3.9999999999999996</v>
      </c>
      <c r="G34" s="1115">
        <v>4.8</v>
      </c>
      <c r="H34" s="1116"/>
      <c r="I34" s="1115">
        <v>17.5</v>
      </c>
      <c r="J34" s="1114"/>
      <c r="K34" s="1115">
        <v>0</v>
      </c>
      <c r="L34" s="1117"/>
      <c r="M34" s="1115">
        <v>0</v>
      </c>
      <c r="N34" s="1115">
        <v>0</v>
      </c>
      <c r="O34" s="1115">
        <v>0</v>
      </c>
      <c r="P34" s="1117"/>
      <c r="Q34" s="1115">
        <v>0</v>
      </c>
      <c r="R34" s="1117"/>
    </row>
    <row r="35" spans="1:18" ht="15" thickBot="1">
      <c r="A35" s="1047"/>
      <c r="B35" s="1047"/>
      <c r="C35" s="1047"/>
      <c r="D35" s="1118"/>
      <c r="E35" s="1047"/>
      <c r="F35" s="1047"/>
      <c r="G35" s="1119"/>
      <c r="H35" s="1047"/>
      <c r="I35" s="1119"/>
      <c r="J35" s="1045"/>
      <c r="K35" s="1119"/>
      <c r="L35" s="1047"/>
      <c r="M35" s="1047"/>
      <c r="N35" s="1047"/>
      <c r="O35" s="1047"/>
      <c r="P35" s="1047"/>
      <c r="Q35" s="1047"/>
      <c r="R35" s="1047"/>
    </row>
    <row r="36" spans="1:18" ht="30.75" thickBot="1">
      <c r="A36" s="1120"/>
      <c r="B36" s="1120"/>
      <c r="C36" s="1121"/>
      <c r="D36" s="1122"/>
      <c r="E36" s="1123" t="s">
        <v>627</v>
      </c>
      <c r="F36" s="1124"/>
      <c r="G36" s="1124"/>
      <c r="H36" s="1124"/>
      <c r="I36" s="1125" t="s">
        <v>606</v>
      </c>
      <c r="J36" s="1114"/>
      <c r="K36" s="1126" t="s">
        <v>607</v>
      </c>
      <c r="L36" s="1127"/>
      <c r="M36" s="1117"/>
      <c r="N36" s="1117"/>
      <c r="O36" s="1117"/>
      <c r="P36" s="1117"/>
      <c r="Q36" s="1117"/>
      <c r="R36" s="1117"/>
    </row>
    <row r="37" spans="1:18" ht="17.25" customHeight="1" thickBot="1">
      <c r="A37" s="1117"/>
      <c r="B37" s="1127"/>
      <c r="C37" s="1127"/>
      <c r="D37" s="1127"/>
      <c r="E37" s="1691"/>
      <c r="F37" s="1692"/>
      <c r="G37" s="1692"/>
      <c r="H37" s="1693"/>
      <c r="I37" s="1128" t="s">
        <v>591</v>
      </c>
      <c r="J37" s="1114"/>
      <c r="K37" s="1129" t="s">
        <v>591</v>
      </c>
      <c r="L37" s="1117"/>
      <c r="M37" s="1117"/>
      <c r="N37" s="1117"/>
      <c r="O37" s="1117"/>
      <c r="P37" s="1117"/>
      <c r="Q37" s="1117"/>
      <c r="R37" s="1117"/>
    </row>
    <row r="38" spans="1:18" ht="17.25" customHeight="1">
      <c r="A38" s="1047"/>
      <c r="B38" s="1118"/>
      <c r="C38" s="1118"/>
      <c r="D38" s="1118"/>
      <c r="E38" s="1694" t="s">
        <v>628</v>
      </c>
      <c r="F38" s="1695"/>
      <c r="G38" s="1695"/>
      <c r="H38" s="1696"/>
      <c r="I38" s="1130">
        <v>2.4</v>
      </c>
      <c r="J38" s="1041"/>
      <c r="K38" s="1074">
        <v>0</v>
      </c>
      <c r="L38" s="1047"/>
      <c r="M38" s="1047"/>
      <c r="N38" s="1047"/>
      <c r="O38" s="1047"/>
      <c r="P38" s="1047"/>
      <c r="Q38" s="1047"/>
      <c r="R38" s="1047"/>
    </row>
    <row r="39" spans="1:18" ht="17.25" customHeight="1" thickBot="1">
      <c r="A39" s="1047"/>
      <c r="B39" s="1118"/>
      <c r="C39" s="1118"/>
      <c r="D39" s="1118"/>
      <c r="E39" s="1697" t="s">
        <v>629</v>
      </c>
      <c r="F39" s="1698"/>
      <c r="G39" s="1698"/>
      <c r="H39" s="1699"/>
      <c r="I39" s="1131">
        <v>15.1</v>
      </c>
      <c r="J39" s="1041"/>
      <c r="K39" s="1082">
        <v>0</v>
      </c>
      <c r="L39" s="1047"/>
      <c r="M39" s="1047"/>
      <c r="N39" s="1047"/>
      <c r="O39" s="1047"/>
      <c r="P39" s="1047"/>
      <c r="Q39" s="1047"/>
      <c r="R39" s="1047"/>
    </row>
    <row r="40" spans="1:18" ht="17.25" customHeight="1" thickBot="1">
      <c r="A40" s="1047"/>
      <c r="B40" s="1114"/>
      <c r="C40" s="1114"/>
      <c r="D40" s="1114"/>
      <c r="E40" s="1700" t="s">
        <v>630</v>
      </c>
      <c r="F40" s="1701"/>
      <c r="G40" s="1701"/>
      <c r="H40" s="1702"/>
      <c r="I40" s="1097">
        <v>17.5</v>
      </c>
      <c r="J40" s="1041"/>
      <c r="K40" s="1097">
        <v>0</v>
      </c>
      <c r="L40" s="1047"/>
      <c r="M40" s="1047"/>
      <c r="N40" s="1047"/>
      <c r="O40" s="1047"/>
      <c r="P40" s="1047"/>
      <c r="Q40" s="1047"/>
      <c r="R40" s="1047"/>
    </row>
    <row r="41" spans="1:18" ht="15" thickBot="1">
      <c r="A41" s="1047"/>
      <c r="B41" s="1047"/>
      <c r="C41" s="1047"/>
      <c r="D41" s="1118"/>
      <c r="E41" s="1047"/>
      <c r="F41" s="1047"/>
      <c r="G41" s="1047"/>
      <c r="H41" s="1047"/>
      <c r="I41" s="1119"/>
      <c r="J41" s="1132"/>
      <c r="K41" s="1119"/>
      <c r="L41" s="1047"/>
      <c r="M41" s="1047"/>
      <c r="N41" s="1047"/>
      <c r="O41" s="1047"/>
      <c r="P41" s="1047"/>
      <c r="Q41" s="1047"/>
      <c r="R41" s="1047"/>
    </row>
    <row r="42" spans="1:18" ht="20.25">
      <c r="A42" s="1045"/>
      <c r="B42" s="1133"/>
      <c r="C42" s="1703" t="s">
        <v>575</v>
      </c>
      <c r="D42" s="1704"/>
      <c r="E42" s="1704"/>
      <c r="F42" s="1705"/>
      <c r="G42" s="1686" t="s">
        <v>591</v>
      </c>
      <c r="H42" s="1041"/>
      <c r="I42" s="1045"/>
      <c r="J42" s="1045"/>
      <c r="K42" s="1045"/>
      <c r="L42" s="1045"/>
      <c r="M42" s="1703" t="s">
        <v>575</v>
      </c>
      <c r="N42" s="1704"/>
      <c r="O42" s="1686" t="s">
        <v>591</v>
      </c>
      <c r="P42" s="1045"/>
      <c r="Q42" s="1045"/>
      <c r="R42" s="1045"/>
    </row>
    <row r="43" spans="1:18" ht="21" thickBot="1">
      <c r="A43" s="1045"/>
      <c r="B43" s="1133"/>
      <c r="C43" s="1706"/>
      <c r="D43" s="1707"/>
      <c r="E43" s="1707"/>
      <c r="F43" s="1708"/>
      <c r="G43" s="1687"/>
      <c r="H43" s="1041"/>
      <c r="I43" s="1045"/>
      <c r="J43" s="1045"/>
      <c r="K43" s="1045"/>
      <c r="L43" s="1045"/>
      <c r="M43" s="1706"/>
      <c r="N43" s="1707"/>
      <c r="O43" s="1687"/>
      <c r="P43" s="1045"/>
      <c r="Q43" s="1045"/>
      <c r="R43" s="1045"/>
    </row>
    <row r="44" spans="1:18" ht="18" customHeight="1" thickBot="1">
      <c r="A44" s="1045"/>
      <c r="B44" s="1134"/>
      <c r="C44" s="1709" t="s">
        <v>244</v>
      </c>
      <c r="D44" s="1710"/>
      <c r="E44" s="1710"/>
      <c r="F44" s="1711"/>
      <c r="G44" s="1130">
        <v>3.1</v>
      </c>
      <c r="H44" s="1041"/>
      <c r="I44" s="1045"/>
      <c r="J44" s="1045"/>
      <c r="K44" s="1045"/>
      <c r="L44" s="1045"/>
      <c r="M44" s="1712" t="s">
        <v>426</v>
      </c>
      <c r="N44" s="1713"/>
      <c r="O44" s="1095">
        <v>0</v>
      </c>
      <c r="P44" s="1045"/>
      <c r="Q44" s="1045"/>
      <c r="R44" s="1045"/>
    </row>
    <row r="45" spans="1:18" ht="18" customHeight="1" thickBot="1">
      <c r="A45" s="1045"/>
      <c r="B45" s="1134"/>
      <c r="C45" s="1709" t="s">
        <v>245</v>
      </c>
      <c r="D45" s="1710"/>
      <c r="E45" s="1710"/>
      <c r="F45" s="1711"/>
      <c r="G45" s="1135">
        <v>1.9</v>
      </c>
      <c r="H45" s="1041"/>
      <c r="I45" s="1045"/>
      <c r="J45" s="1045"/>
      <c r="K45" s="1045"/>
      <c r="L45" s="1045"/>
      <c r="M45" s="1045"/>
      <c r="N45" s="1045"/>
      <c r="O45" s="1045"/>
      <c r="P45" s="1045"/>
      <c r="Q45" s="1045"/>
      <c r="R45" s="1045"/>
    </row>
    <row r="46" spans="1:18" ht="18" customHeight="1" thickBot="1">
      <c r="A46" s="1045"/>
      <c r="B46" s="1134"/>
      <c r="C46" s="1709" t="s">
        <v>427</v>
      </c>
      <c r="D46" s="1710"/>
      <c r="E46" s="1710"/>
      <c r="F46" s="1711"/>
      <c r="G46" s="1135">
        <v>0.3</v>
      </c>
      <c r="H46" s="1041"/>
      <c r="I46" s="1045"/>
      <c r="J46" s="1045"/>
      <c r="K46" s="1045"/>
      <c r="L46" s="1045"/>
      <c r="M46" s="1045"/>
      <c r="N46" s="1045"/>
      <c r="O46" s="1045"/>
      <c r="P46" s="1045"/>
      <c r="Q46" s="1045"/>
      <c r="R46" s="1045"/>
    </row>
    <row r="47" spans="1:18" ht="18" customHeight="1" thickBot="1">
      <c r="A47" s="1045"/>
      <c r="B47" s="1134"/>
      <c r="C47" s="1709" t="s">
        <v>426</v>
      </c>
      <c r="D47" s="1710"/>
      <c r="E47" s="1710"/>
      <c r="F47" s="1711"/>
      <c r="G47" s="1131">
        <v>0</v>
      </c>
      <c r="H47" s="1041"/>
      <c r="I47" s="1045"/>
      <c r="J47" s="1045"/>
      <c r="K47" s="1045"/>
      <c r="L47" s="1045"/>
      <c r="M47" s="1045"/>
      <c r="N47" s="1045"/>
      <c r="O47" s="1045"/>
      <c r="P47" s="1045"/>
      <c r="Q47" s="1045"/>
      <c r="R47" s="1045"/>
    </row>
    <row r="48" spans="1:18" ht="18" customHeight="1" thickBot="1">
      <c r="A48" s="1045"/>
      <c r="B48" s="1136"/>
      <c r="C48" s="1714" t="s">
        <v>631</v>
      </c>
      <c r="D48" s="1715"/>
      <c r="E48" s="1715"/>
      <c r="F48" s="1716"/>
      <c r="G48" s="1137">
        <v>5.3</v>
      </c>
      <c r="H48" s="1041"/>
      <c r="I48" s="1045"/>
      <c r="J48" s="1045"/>
      <c r="K48" s="1045"/>
      <c r="L48" s="1045"/>
      <c r="M48" s="1045"/>
      <c r="N48" s="1045"/>
      <c r="O48" s="1045"/>
      <c r="P48" s="1045"/>
      <c r="Q48" s="1045"/>
      <c r="R48" s="1045"/>
    </row>
    <row r="49" spans="1:18" ht="15">
      <c r="A49" s="1138"/>
      <c r="B49" s="1138"/>
      <c r="C49" s="1138"/>
      <c r="D49" s="1138"/>
      <c r="E49" s="1138"/>
      <c r="F49" s="1138"/>
      <c r="G49" s="1119"/>
      <c r="H49" s="1139"/>
      <c r="I49" s="1140"/>
      <c r="J49" s="1140"/>
      <c r="K49" s="1140"/>
      <c r="L49" s="1141"/>
      <c r="M49" s="1047"/>
      <c r="N49" s="1047"/>
      <c r="O49" s="1047"/>
      <c r="P49" s="1047"/>
      <c r="Q49" s="1047"/>
      <c r="R49" s="1047"/>
    </row>
    <row r="50" spans="1:18" ht="13.5" thickBot="1"/>
    <row r="51" spans="1:18" ht="14.25">
      <c r="E51" s="1709"/>
      <c r="F51" s="1710"/>
      <c r="G51" s="1710"/>
      <c r="H51" s="1711"/>
    </row>
  </sheetData>
  <mergeCells count="52">
    <mergeCell ref="E51:H51"/>
    <mergeCell ref="C44:F44"/>
    <mergeCell ref="M44:N44"/>
    <mergeCell ref="C45:F45"/>
    <mergeCell ref="C46:F46"/>
    <mergeCell ref="C47:F47"/>
    <mergeCell ref="C48:F48"/>
    <mergeCell ref="O42:O43"/>
    <mergeCell ref="A31:C31"/>
    <mergeCell ref="A32:C32"/>
    <mergeCell ref="A33:C33"/>
    <mergeCell ref="A34:C34"/>
    <mergeCell ref="E37:H37"/>
    <mergeCell ref="E38:H38"/>
    <mergeCell ref="E39:H39"/>
    <mergeCell ref="E40:H40"/>
    <mergeCell ref="C42:F43"/>
    <mergeCell ref="G42:G43"/>
    <mergeCell ref="M42:N43"/>
    <mergeCell ref="A30:C30"/>
    <mergeCell ref="A17:A19"/>
    <mergeCell ref="B17:C17"/>
    <mergeCell ref="B18:C18"/>
    <mergeCell ref="B19:C19"/>
    <mergeCell ref="A20:A23"/>
    <mergeCell ref="B20:C20"/>
    <mergeCell ref="B23:C23"/>
    <mergeCell ref="A24:A27"/>
    <mergeCell ref="B24:C24"/>
    <mergeCell ref="B27:C27"/>
    <mergeCell ref="A28:C28"/>
    <mergeCell ref="A29:C29"/>
    <mergeCell ref="G14:G16"/>
    <mergeCell ref="B15:C15"/>
    <mergeCell ref="B16:C16"/>
    <mergeCell ref="A11:A12"/>
    <mergeCell ref="B11:C11"/>
    <mergeCell ref="E11:E12"/>
    <mergeCell ref="F11:F12"/>
    <mergeCell ref="G11:G12"/>
    <mergeCell ref="B12:C12"/>
    <mergeCell ref="A13:A16"/>
    <mergeCell ref="B13:C13"/>
    <mergeCell ref="B14:C14"/>
    <mergeCell ref="E14:E16"/>
    <mergeCell ref="F14:F16"/>
    <mergeCell ref="A9:C10"/>
    <mergeCell ref="E7:G7"/>
    <mergeCell ref="I7:K7"/>
    <mergeCell ref="M7:Q7"/>
    <mergeCell ref="E8:G8"/>
    <mergeCell ref="M8:O8"/>
  </mergeCells>
  <phoneticPr fontId="1" type="noConversion"/>
  <dataValidations count="1">
    <dataValidation type="decimal" operator="lessThanOrEqual" allowBlank="1" showInputMessage="1" showErrorMessage="1" sqref="I32">
      <formula1>0</formula1>
    </dataValidation>
  </dataValidation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5FFFF"/>
    <pageSetUpPr fitToPage="1"/>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11" customFormat="1">
      <c r="A1" s="1031" t="s">
        <v>551</v>
      </c>
      <c r="E1" s="1032"/>
    </row>
    <row r="2" spans="1:14">
      <c r="A2" s="47"/>
    </row>
    <row r="3" spans="1:14">
      <c r="A3" s="47" t="s">
        <v>101</v>
      </c>
    </row>
    <row r="5" spans="1:14" ht="20.25">
      <c r="A5" s="1142" t="s">
        <v>632</v>
      </c>
      <c r="B5" s="1143"/>
      <c r="C5" s="1143"/>
      <c r="D5" s="1144"/>
      <c r="E5" s="1143"/>
      <c r="F5" s="1143"/>
      <c r="G5" s="1143"/>
      <c r="H5" s="1143"/>
      <c r="I5" s="1143"/>
      <c r="J5" s="1143"/>
      <c r="K5" s="1143"/>
      <c r="L5" s="1143"/>
      <c r="M5" s="1145"/>
      <c r="N5" s="1145"/>
    </row>
    <row r="6" spans="1:14" ht="21" thickBot="1">
      <c r="A6" s="1142"/>
      <c r="B6" s="1143"/>
      <c r="C6" s="1143"/>
      <c r="D6" s="1144"/>
      <c r="E6" s="1143"/>
      <c r="F6" s="1143"/>
      <c r="G6" s="1143"/>
      <c r="H6" s="1143"/>
      <c r="I6" s="1143"/>
      <c r="J6" s="1143"/>
      <c r="K6" s="1143"/>
      <c r="L6" s="1143"/>
      <c r="M6" s="1145"/>
      <c r="N6" s="1145"/>
    </row>
    <row r="7" spans="1:14" ht="18.75" thickBot="1">
      <c r="A7" s="1146"/>
      <c r="B7" s="1146"/>
      <c r="C7" s="1721" t="s">
        <v>633</v>
      </c>
      <c r="D7" s="1722"/>
      <c r="E7" s="1147"/>
      <c r="F7" s="1147"/>
      <c r="G7" s="1147"/>
      <c r="H7" s="1147"/>
      <c r="I7" s="1147"/>
      <c r="J7" s="1147"/>
      <c r="K7" s="1147"/>
      <c r="L7" s="1148"/>
      <c r="M7" s="1146"/>
      <c r="N7" s="1146"/>
    </row>
    <row r="8" spans="1:14" ht="98.25" thickBot="1">
      <c r="A8" s="1146"/>
      <c r="B8" s="1146"/>
      <c r="C8" s="1624" t="s">
        <v>634</v>
      </c>
      <c r="D8" s="1626"/>
      <c r="E8" s="1149" t="s">
        <v>635</v>
      </c>
      <c r="F8" s="1150" t="s">
        <v>636</v>
      </c>
      <c r="G8" s="1150" t="s">
        <v>637</v>
      </c>
      <c r="H8" s="1149" t="s">
        <v>638</v>
      </c>
      <c r="I8" s="1150" t="s">
        <v>639</v>
      </c>
      <c r="J8" s="1151" t="s">
        <v>640</v>
      </c>
      <c r="K8" s="1152" t="s">
        <v>641</v>
      </c>
      <c r="L8" s="1153" t="s">
        <v>220</v>
      </c>
      <c r="M8" s="1146"/>
      <c r="N8" s="1146"/>
    </row>
    <row r="9" spans="1:14" ht="15.75" thickBot="1">
      <c r="A9" s="1146"/>
      <c r="B9" s="1146"/>
      <c r="C9" s="1627"/>
      <c r="D9" s="1629"/>
      <c r="E9" s="1154" t="s">
        <v>591</v>
      </c>
      <c r="F9" s="1155" t="s">
        <v>591</v>
      </c>
      <c r="G9" s="1155" t="s">
        <v>591</v>
      </c>
      <c r="H9" s="1154" t="s">
        <v>591</v>
      </c>
      <c r="I9" s="1155" t="s">
        <v>591</v>
      </c>
      <c r="J9" s="1155" t="s">
        <v>591</v>
      </c>
      <c r="K9" s="1156" t="s">
        <v>591</v>
      </c>
      <c r="L9" s="1157" t="s">
        <v>591</v>
      </c>
      <c r="M9" s="1146"/>
      <c r="N9" s="1146"/>
    </row>
    <row r="10" spans="1:14" ht="15">
      <c r="A10" s="1146"/>
      <c r="B10" s="1146"/>
      <c r="C10" s="1723" t="s">
        <v>642</v>
      </c>
      <c r="D10" s="1724"/>
      <c r="E10" s="1158"/>
      <c r="F10" s="1159"/>
      <c r="G10" s="1159"/>
      <c r="H10" s="1158"/>
      <c r="I10" s="1159"/>
      <c r="J10" s="1160"/>
      <c r="K10" s="1160"/>
      <c r="L10" s="1161">
        <v>0</v>
      </c>
      <c r="M10" s="1146"/>
      <c r="N10" s="1146"/>
    </row>
    <row r="11" spans="1:14" ht="14.25">
      <c r="A11" s="1146"/>
      <c r="B11" s="1146"/>
      <c r="C11" s="1725" t="s">
        <v>265</v>
      </c>
      <c r="D11" s="1726"/>
      <c r="E11" s="1162">
        <v>27.3</v>
      </c>
      <c r="F11" s="1162">
        <v>0</v>
      </c>
      <c r="G11" s="1162">
        <v>0</v>
      </c>
      <c r="H11" s="1162">
        <v>0</v>
      </c>
      <c r="I11" s="1163"/>
      <c r="J11" s="1164"/>
      <c r="K11" s="1165"/>
      <c r="L11" s="1166">
        <v>27.3</v>
      </c>
      <c r="M11" s="1146"/>
      <c r="N11" s="1146"/>
    </row>
    <row r="12" spans="1:14" ht="14.25">
      <c r="A12" s="1146"/>
      <c r="B12" s="1146"/>
      <c r="C12" s="1725" t="s">
        <v>269</v>
      </c>
      <c r="D12" s="1726"/>
      <c r="E12" s="1162">
        <v>4.0999999999999996</v>
      </c>
      <c r="F12" s="1162">
        <v>0</v>
      </c>
      <c r="G12" s="1162">
        <v>0</v>
      </c>
      <c r="H12" s="1162">
        <v>0</v>
      </c>
      <c r="I12" s="1163"/>
      <c r="J12" s="1164"/>
      <c r="K12" s="1165"/>
      <c r="L12" s="1166">
        <v>4.0999999999999996</v>
      </c>
      <c r="M12" s="1146"/>
      <c r="N12" s="1146"/>
    </row>
    <row r="13" spans="1:14" ht="14.25">
      <c r="A13" s="1146"/>
      <c r="B13" s="1146"/>
      <c r="C13" s="1725" t="s">
        <v>271</v>
      </c>
      <c r="D13" s="1726"/>
      <c r="E13" s="1162">
        <v>0</v>
      </c>
      <c r="F13" s="1162">
        <v>0</v>
      </c>
      <c r="G13" s="1162">
        <v>0</v>
      </c>
      <c r="H13" s="1162">
        <v>0</v>
      </c>
      <c r="I13" s="1163"/>
      <c r="J13" s="1164"/>
      <c r="K13" s="1165"/>
      <c r="L13" s="1166">
        <v>0</v>
      </c>
      <c r="M13" s="1146"/>
      <c r="N13" s="1146"/>
    </row>
    <row r="14" spans="1:14" ht="14.25">
      <c r="A14" s="1146"/>
      <c r="B14" s="1146"/>
      <c r="C14" s="1719" t="s">
        <v>273</v>
      </c>
      <c r="D14" s="1720"/>
      <c r="E14" s="1162">
        <v>0</v>
      </c>
      <c r="F14" s="1162">
        <v>0</v>
      </c>
      <c r="G14" s="1162">
        <v>0</v>
      </c>
      <c r="H14" s="1162">
        <v>0</v>
      </c>
      <c r="I14" s="1163"/>
      <c r="J14" s="1164"/>
      <c r="K14" s="1165"/>
      <c r="L14" s="1166">
        <v>0</v>
      </c>
      <c r="M14" s="1146"/>
      <c r="N14" s="1146"/>
    </row>
    <row r="15" spans="1:14" ht="15">
      <c r="A15" s="1146"/>
      <c r="B15" s="1146"/>
      <c r="C15" s="1717" t="s">
        <v>643</v>
      </c>
      <c r="D15" s="1718"/>
      <c r="E15" s="1167"/>
      <c r="F15" s="1168"/>
      <c r="G15" s="1168"/>
      <c r="H15" s="1167"/>
      <c r="I15" s="1163"/>
      <c r="J15" s="1164"/>
      <c r="K15" s="1165"/>
      <c r="L15" s="1169">
        <v>0</v>
      </c>
      <c r="M15" s="1146"/>
      <c r="N15" s="1146"/>
    </row>
    <row r="16" spans="1:14" ht="14.25">
      <c r="A16" s="1146"/>
      <c r="B16" s="1146"/>
      <c r="C16" s="1719" t="s">
        <v>368</v>
      </c>
      <c r="D16" s="1720"/>
      <c r="E16" s="1170"/>
      <c r="F16" s="1163"/>
      <c r="G16" s="1163"/>
      <c r="H16" s="1163"/>
      <c r="I16" s="1162">
        <v>0.7</v>
      </c>
      <c r="J16" s="1162">
        <v>0</v>
      </c>
      <c r="K16" s="1165"/>
      <c r="L16" s="1166">
        <v>0.7</v>
      </c>
      <c r="M16" s="1146"/>
      <c r="N16" s="1146"/>
    </row>
    <row r="17" spans="1:14" ht="14.25">
      <c r="A17" s="1146"/>
      <c r="B17" s="1146"/>
      <c r="C17" s="1719" t="s">
        <v>369</v>
      </c>
      <c r="D17" s="1720"/>
      <c r="E17" s="1170"/>
      <c r="F17" s="1163"/>
      <c r="G17" s="1163"/>
      <c r="H17" s="1163"/>
      <c r="I17" s="1162">
        <v>2.2000000000000002</v>
      </c>
      <c r="J17" s="1162">
        <v>0</v>
      </c>
      <c r="K17" s="1165"/>
      <c r="L17" s="1166">
        <v>2.2000000000000002</v>
      </c>
      <c r="M17" s="1146"/>
      <c r="N17" s="1146"/>
    </row>
    <row r="18" spans="1:14" ht="14.25">
      <c r="A18" s="1146"/>
      <c r="B18" s="1146"/>
      <c r="C18" s="1719" t="s">
        <v>370</v>
      </c>
      <c r="D18" s="1720"/>
      <c r="E18" s="1170"/>
      <c r="F18" s="1163"/>
      <c r="G18" s="1163"/>
      <c r="H18" s="1163"/>
      <c r="I18" s="1162">
        <v>4.9000000000000004</v>
      </c>
      <c r="J18" s="1162">
        <v>0</v>
      </c>
      <c r="K18" s="1165"/>
      <c r="L18" s="1166">
        <v>4.9000000000000004</v>
      </c>
      <c r="M18" s="1146"/>
      <c r="N18" s="1146"/>
    </row>
    <row r="19" spans="1:14" ht="14.25">
      <c r="A19" s="1146"/>
      <c r="B19" s="1146"/>
      <c r="C19" s="1719" t="s">
        <v>371</v>
      </c>
      <c r="D19" s="1720"/>
      <c r="E19" s="1170"/>
      <c r="F19" s="1163"/>
      <c r="G19" s="1163"/>
      <c r="H19" s="1163"/>
      <c r="I19" s="1162">
        <v>9.4</v>
      </c>
      <c r="J19" s="1162">
        <v>0</v>
      </c>
      <c r="K19" s="1165"/>
      <c r="L19" s="1166">
        <v>9.4</v>
      </c>
      <c r="M19" s="1146"/>
      <c r="N19" s="1146"/>
    </row>
    <row r="20" spans="1:14" ht="15">
      <c r="A20" s="1146"/>
      <c r="B20" s="1146"/>
      <c r="C20" s="1717" t="s">
        <v>641</v>
      </c>
      <c r="D20" s="1718"/>
      <c r="E20" s="1171"/>
      <c r="F20" s="1172"/>
      <c r="G20" s="1172"/>
      <c r="H20" s="1172"/>
      <c r="I20" s="1172"/>
      <c r="J20" s="1165"/>
      <c r="K20" s="1162">
        <v>0</v>
      </c>
      <c r="L20" s="1166">
        <v>0</v>
      </c>
      <c r="M20" s="1146"/>
      <c r="N20" s="1146"/>
    </row>
    <row r="21" spans="1:14" ht="15">
      <c r="A21" s="1146"/>
      <c r="B21" s="1146"/>
      <c r="C21" s="1717" t="s">
        <v>644</v>
      </c>
      <c r="D21" s="1718"/>
      <c r="E21" s="1173">
        <v>31.4</v>
      </c>
      <c r="F21" s="1173">
        <v>0</v>
      </c>
      <c r="G21" s="1173">
        <v>0</v>
      </c>
      <c r="H21" s="1173">
        <v>0</v>
      </c>
      <c r="I21" s="1173">
        <v>17.200000000000003</v>
      </c>
      <c r="J21" s="1173">
        <v>0</v>
      </c>
      <c r="K21" s="1174">
        <v>0</v>
      </c>
      <c r="L21" s="1175">
        <v>48.6</v>
      </c>
      <c r="M21" s="1176"/>
      <c r="N21" s="1146"/>
    </row>
    <row r="22" spans="1:14" ht="15" customHeight="1">
      <c r="A22" s="1146"/>
      <c r="B22" s="1146"/>
      <c r="C22" s="1719" t="s">
        <v>645</v>
      </c>
      <c r="D22" s="1720"/>
      <c r="E22" s="1162">
        <v>0</v>
      </c>
      <c r="F22" s="1163"/>
      <c r="G22" s="1162">
        <v>0</v>
      </c>
      <c r="H22" s="1162">
        <v>0</v>
      </c>
      <c r="I22" s="1162">
        <v>0</v>
      </c>
      <c r="J22" s="1162">
        <v>0</v>
      </c>
      <c r="K22" s="1162">
        <v>0</v>
      </c>
      <c r="L22" s="1166">
        <v>0</v>
      </c>
      <c r="M22" s="1176"/>
      <c r="N22" s="1146"/>
    </row>
    <row r="23" spans="1:14" ht="15">
      <c r="A23" s="1146"/>
      <c r="B23" s="1146"/>
      <c r="C23" s="1717" t="s">
        <v>646</v>
      </c>
      <c r="D23" s="1718"/>
      <c r="E23" s="1173">
        <v>31.4</v>
      </c>
      <c r="F23" s="1177">
        <v>0</v>
      </c>
      <c r="G23" s="1177">
        <v>0</v>
      </c>
      <c r="H23" s="1177">
        <v>0</v>
      </c>
      <c r="I23" s="1177">
        <v>17.200000000000003</v>
      </c>
      <c r="J23" s="1177">
        <v>0</v>
      </c>
      <c r="K23" s="1178">
        <v>0</v>
      </c>
      <c r="L23" s="1175">
        <v>48.6</v>
      </c>
      <c r="M23" s="1179"/>
      <c r="N23" s="1146"/>
    </row>
    <row r="24" spans="1:14" ht="15.75" thickBot="1">
      <c r="A24" s="1146"/>
      <c r="B24" s="1146"/>
      <c r="C24" s="1719" t="s">
        <v>647</v>
      </c>
      <c r="D24" s="1720"/>
      <c r="E24" s="1162">
        <v>-32.700000000000003</v>
      </c>
      <c r="F24" s="1162">
        <v>0</v>
      </c>
      <c r="G24" s="1162">
        <v>0</v>
      </c>
      <c r="H24" s="1180"/>
      <c r="I24" s="1181"/>
      <c r="J24" s="1181"/>
      <c r="K24" s="1162">
        <v>0</v>
      </c>
      <c r="L24" s="1182">
        <v>-32.700000000000003</v>
      </c>
      <c r="M24" s="1183"/>
      <c r="N24" s="1146"/>
    </row>
    <row r="25" spans="1:14" ht="15.75" thickBot="1">
      <c r="A25" s="1146"/>
      <c r="B25" s="1146"/>
      <c r="C25" s="1717" t="s">
        <v>648</v>
      </c>
      <c r="D25" s="1718"/>
      <c r="E25" s="1184">
        <v>-1.3000000000000043</v>
      </c>
      <c r="F25" s="1185">
        <v>0</v>
      </c>
      <c r="G25" s="1185">
        <v>0</v>
      </c>
      <c r="H25" s="1185">
        <v>0</v>
      </c>
      <c r="I25" s="1185">
        <v>17.200000000000003</v>
      </c>
      <c r="J25" s="1185">
        <v>0</v>
      </c>
      <c r="K25" s="1186">
        <v>0</v>
      </c>
      <c r="L25" s="1187">
        <v>15.899999999999999</v>
      </c>
      <c r="M25" s="1179"/>
      <c r="N25" s="1146"/>
    </row>
    <row r="26" spans="1:14" ht="15.75" thickBot="1">
      <c r="A26" s="1146"/>
      <c r="B26" s="1146"/>
      <c r="C26" s="1138"/>
      <c r="D26" s="1138"/>
      <c r="E26" s="1188"/>
      <c r="F26" s="1188"/>
      <c r="G26" s="1189"/>
      <c r="H26" s="1190"/>
      <c r="I26" s="1146"/>
      <c r="J26" s="1146"/>
      <c r="K26" s="1146"/>
      <c r="L26" s="1146"/>
      <c r="M26" s="1146"/>
      <c r="N26" s="1146"/>
    </row>
    <row r="27" spans="1:14" ht="18.75" thickBot="1">
      <c r="A27" s="1146"/>
      <c r="B27" s="1146"/>
      <c r="C27" s="1729" t="s">
        <v>649</v>
      </c>
      <c r="D27" s="1730"/>
      <c r="E27" s="1191"/>
      <c r="F27" s="1191"/>
      <c r="G27" s="1192"/>
      <c r="H27" s="1146"/>
      <c r="I27" s="1146"/>
      <c r="J27" s="1146"/>
      <c r="K27" s="1146"/>
      <c r="L27" s="1193"/>
      <c r="M27" s="1146"/>
      <c r="N27" s="1146"/>
    </row>
    <row r="28" spans="1:14" ht="18" customHeight="1" thickBot="1">
      <c r="A28" s="1146"/>
      <c r="B28" s="1146"/>
      <c r="C28" s="1624" t="s">
        <v>634</v>
      </c>
      <c r="D28" s="1626"/>
      <c r="E28" s="1727" t="s">
        <v>650</v>
      </c>
      <c r="F28" s="1728"/>
      <c r="G28" s="1194"/>
      <c r="H28" s="1146"/>
      <c r="I28" s="1146"/>
      <c r="J28" s="1146"/>
      <c r="K28" s="1146"/>
      <c r="L28" s="1193"/>
      <c r="M28" s="1146"/>
      <c r="N28" s="1146"/>
    </row>
    <row r="29" spans="1:14" ht="45.75" thickBot="1">
      <c r="A29" s="1146"/>
      <c r="B29" s="1146"/>
      <c r="C29" s="1731"/>
      <c r="D29" s="1732"/>
      <c r="E29" s="1195" t="s">
        <v>651</v>
      </c>
      <c r="F29" s="1195" t="s">
        <v>652</v>
      </c>
      <c r="G29" s="1195" t="s">
        <v>653</v>
      </c>
      <c r="H29" s="1146"/>
      <c r="I29" s="1146"/>
      <c r="J29" s="1146"/>
      <c r="K29" s="1146"/>
      <c r="L29" s="1193"/>
      <c r="M29" s="1146"/>
      <c r="N29" s="1146"/>
    </row>
    <row r="30" spans="1:14" ht="15.75" thickBot="1">
      <c r="A30" s="1146"/>
      <c r="B30" s="1146"/>
      <c r="C30" s="1627"/>
      <c r="D30" s="1629"/>
      <c r="E30" s="1196" t="s">
        <v>591</v>
      </c>
      <c r="F30" s="1196" t="s">
        <v>591</v>
      </c>
      <c r="G30" s="1196" t="s">
        <v>591</v>
      </c>
      <c r="H30" s="1146"/>
      <c r="I30" s="1146"/>
      <c r="J30" s="1146"/>
      <c r="K30" s="1146"/>
      <c r="L30" s="1193"/>
      <c r="M30" s="1146"/>
      <c r="N30" s="1146"/>
    </row>
    <row r="31" spans="1:14" s="111" customFormat="1" ht="18" customHeight="1">
      <c r="A31" s="1047"/>
      <c r="B31" s="1047"/>
      <c r="C31" s="1733" t="s">
        <v>447</v>
      </c>
      <c r="D31" s="1197" t="s">
        <v>448</v>
      </c>
      <c r="E31" s="1198">
        <v>0.2</v>
      </c>
      <c r="F31" s="1199">
        <v>0</v>
      </c>
      <c r="G31" s="1200">
        <v>0.2</v>
      </c>
      <c r="H31" s="1047"/>
      <c r="I31" s="1047"/>
      <c r="J31" s="1047"/>
      <c r="K31" s="1047"/>
      <c r="L31" s="1117"/>
      <c r="M31" s="1047"/>
      <c r="N31" s="1047"/>
    </row>
    <row r="32" spans="1:14" s="111" customFormat="1" ht="18" customHeight="1" thickBot="1">
      <c r="A32" s="1047"/>
      <c r="B32" s="1047"/>
      <c r="C32" s="1734"/>
      <c r="D32" s="1201" t="s">
        <v>449</v>
      </c>
      <c r="E32" s="1202">
        <v>3.1999999999999997</v>
      </c>
      <c r="F32" s="1202">
        <v>0.1</v>
      </c>
      <c r="G32" s="1203">
        <v>3.3</v>
      </c>
      <c r="H32" s="1047"/>
      <c r="I32" s="1047"/>
      <c r="J32" s="1047"/>
      <c r="K32" s="1047"/>
      <c r="L32" s="1117"/>
      <c r="M32" s="1047"/>
      <c r="N32" s="1047"/>
    </row>
    <row r="33" spans="1:14" s="111" customFormat="1" ht="18" customHeight="1">
      <c r="A33" s="1047"/>
      <c r="B33" s="1047"/>
      <c r="C33" s="1733" t="s">
        <v>450</v>
      </c>
      <c r="D33" s="1197" t="s">
        <v>448</v>
      </c>
      <c r="E33" s="1199">
        <v>0</v>
      </c>
      <c r="F33" s="1199">
        <v>0</v>
      </c>
      <c r="G33" s="1200">
        <v>0</v>
      </c>
      <c r="H33" s="1047"/>
      <c r="I33" s="1047"/>
      <c r="J33" s="1047"/>
      <c r="K33" s="1047"/>
      <c r="L33" s="1117"/>
      <c r="M33" s="1047"/>
      <c r="N33" s="1047"/>
    </row>
    <row r="34" spans="1:14" s="111" customFormat="1" ht="18" customHeight="1" thickBot="1">
      <c r="A34" s="1047"/>
      <c r="B34" s="1047"/>
      <c r="C34" s="1734"/>
      <c r="D34" s="1201" t="s">
        <v>449</v>
      </c>
      <c r="E34" s="1202">
        <v>0</v>
      </c>
      <c r="F34" s="1202">
        <v>0</v>
      </c>
      <c r="G34" s="1203">
        <v>0</v>
      </c>
      <c r="H34" s="1047"/>
      <c r="I34" s="1047"/>
      <c r="J34" s="1047"/>
      <c r="K34" s="1047"/>
      <c r="L34" s="1117"/>
      <c r="M34" s="1047"/>
      <c r="N34" s="1047"/>
    </row>
    <row r="35" spans="1:14" s="111" customFormat="1" ht="18" customHeight="1">
      <c r="A35" s="1047"/>
      <c r="B35" s="1047"/>
      <c r="C35" s="1737" t="s">
        <v>368</v>
      </c>
      <c r="D35" s="1197" t="s">
        <v>613</v>
      </c>
      <c r="E35" s="1199">
        <v>3.7</v>
      </c>
      <c r="F35" s="1199">
        <v>0</v>
      </c>
      <c r="G35" s="1200">
        <v>3.7</v>
      </c>
      <c r="H35" s="1047"/>
      <c r="I35" s="1047"/>
      <c r="J35" s="1047"/>
      <c r="K35" s="1047"/>
      <c r="L35" s="1117"/>
      <c r="M35" s="1047"/>
      <c r="N35" s="1047"/>
    </row>
    <row r="36" spans="1:14" s="111" customFormat="1" ht="18" customHeight="1">
      <c r="A36" s="1047"/>
      <c r="B36" s="1047"/>
      <c r="C36" s="1738"/>
      <c r="D36" s="1204" t="s">
        <v>654</v>
      </c>
      <c r="E36" s="1205">
        <v>1.3</v>
      </c>
      <c r="F36" s="1205">
        <v>1.4</v>
      </c>
      <c r="G36" s="1206">
        <v>2.7</v>
      </c>
      <c r="H36" s="1047"/>
      <c r="I36" s="1047"/>
      <c r="J36" s="1047"/>
      <c r="K36" s="1047"/>
      <c r="L36" s="1117"/>
      <c r="M36" s="1047"/>
      <c r="N36" s="1047"/>
    </row>
    <row r="37" spans="1:14" s="111" customFormat="1" ht="18" customHeight="1" thickBot="1">
      <c r="A37" s="1047"/>
      <c r="B37" s="1047"/>
      <c r="C37" s="1739"/>
      <c r="D37" s="1207" t="s">
        <v>453</v>
      </c>
      <c r="E37" s="1208">
        <v>0.4</v>
      </c>
      <c r="F37" s="1208">
        <v>0</v>
      </c>
      <c r="G37" s="1203">
        <v>0.4</v>
      </c>
      <c r="H37" s="1047"/>
      <c r="I37" s="1047"/>
      <c r="J37" s="1047"/>
      <c r="K37" s="1047"/>
      <c r="L37" s="1117"/>
      <c r="M37" s="1047"/>
      <c r="N37" s="1047"/>
    </row>
    <row r="38" spans="1:14" s="111" customFormat="1" ht="18" customHeight="1">
      <c r="A38" s="1047"/>
      <c r="B38" s="1047"/>
      <c r="C38" s="1737" t="s">
        <v>245</v>
      </c>
      <c r="D38" s="1197" t="s">
        <v>454</v>
      </c>
      <c r="E38" s="1209">
        <v>5.7</v>
      </c>
      <c r="F38" s="1209">
        <v>0</v>
      </c>
      <c r="G38" s="1200">
        <v>5.7</v>
      </c>
      <c r="H38" s="1047"/>
      <c r="I38" s="1047"/>
      <c r="J38" s="1047"/>
      <c r="K38" s="1047"/>
      <c r="L38" s="1117"/>
      <c r="M38" s="1047"/>
      <c r="N38" s="1047"/>
    </row>
    <row r="39" spans="1:14" s="111" customFormat="1" ht="18" customHeight="1">
      <c r="A39" s="1047"/>
      <c r="B39" s="1047"/>
      <c r="C39" s="1738"/>
      <c r="D39" s="1204" t="s">
        <v>617</v>
      </c>
      <c r="E39" s="1205">
        <v>0.8</v>
      </c>
      <c r="F39" s="1205">
        <v>0.2</v>
      </c>
      <c r="G39" s="1206">
        <v>1</v>
      </c>
      <c r="H39" s="1047"/>
      <c r="I39" s="1047"/>
      <c r="J39" s="1047"/>
      <c r="K39" s="1047"/>
      <c r="L39" s="1117"/>
      <c r="M39" s="1047"/>
      <c r="N39" s="1047"/>
    </row>
    <row r="40" spans="1:14" s="111" customFormat="1" ht="18" customHeight="1">
      <c r="A40" s="1047"/>
      <c r="B40" s="1047"/>
      <c r="C40" s="1738"/>
      <c r="D40" s="1210" t="s">
        <v>455</v>
      </c>
      <c r="E40" s="1205">
        <v>0</v>
      </c>
      <c r="F40" s="1205">
        <v>0</v>
      </c>
      <c r="G40" s="1206">
        <v>0</v>
      </c>
      <c r="H40" s="1047"/>
      <c r="I40" s="1047"/>
      <c r="J40" s="1047"/>
      <c r="K40" s="1047"/>
      <c r="L40" s="1117"/>
      <c r="M40" s="1047"/>
      <c r="N40" s="1047"/>
    </row>
    <row r="41" spans="1:14" s="111" customFormat="1" ht="18" customHeight="1">
      <c r="A41" s="1047"/>
      <c r="B41" s="1047"/>
      <c r="C41" s="1738"/>
      <c r="D41" s="1210" t="s">
        <v>453</v>
      </c>
      <c r="E41" s="1205">
        <v>2.8</v>
      </c>
      <c r="F41" s="1205">
        <v>0</v>
      </c>
      <c r="G41" s="1206">
        <v>2.8</v>
      </c>
      <c r="H41" s="1047"/>
      <c r="I41" s="1047"/>
      <c r="J41" s="1047"/>
      <c r="K41" s="1047"/>
      <c r="L41" s="1117"/>
      <c r="M41" s="1047"/>
      <c r="N41" s="1047"/>
    </row>
    <row r="42" spans="1:14" s="111" customFormat="1" ht="18" customHeight="1">
      <c r="A42" s="1047"/>
      <c r="B42" s="1047"/>
      <c r="C42" s="1738"/>
      <c r="D42" s="1204" t="s">
        <v>456</v>
      </c>
      <c r="E42" s="1211">
        <v>0.9</v>
      </c>
      <c r="F42" s="1211">
        <v>0.1</v>
      </c>
      <c r="G42" s="1206">
        <v>1</v>
      </c>
      <c r="H42" s="1047"/>
      <c r="I42" s="1047"/>
      <c r="J42" s="1047"/>
      <c r="K42" s="1047"/>
      <c r="L42" s="1117"/>
      <c r="M42" s="1047"/>
      <c r="N42" s="1047"/>
    </row>
    <row r="43" spans="1:14" s="111" customFormat="1" ht="18" customHeight="1" thickBot="1">
      <c r="A43" s="1047"/>
      <c r="B43" s="1047"/>
      <c r="C43" s="1739"/>
      <c r="D43" s="1201" t="s">
        <v>457</v>
      </c>
      <c r="E43" s="1211">
        <v>2.4</v>
      </c>
      <c r="F43" s="1211">
        <v>0</v>
      </c>
      <c r="G43" s="1203">
        <v>2.4</v>
      </c>
      <c r="H43" s="1047"/>
      <c r="I43" s="1047"/>
      <c r="J43" s="1047"/>
      <c r="K43" s="1047"/>
      <c r="L43" s="1117"/>
      <c r="M43" s="1047"/>
      <c r="N43" s="1047"/>
    </row>
    <row r="44" spans="1:14" s="111" customFormat="1" ht="18" customHeight="1">
      <c r="A44" s="1047"/>
      <c r="B44" s="1047"/>
      <c r="C44" s="1737" t="s">
        <v>427</v>
      </c>
      <c r="D44" s="1197" t="s">
        <v>454</v>
      </c>
      <c r="E44" s="1199">
        <v>2.4</v>
      </c>
      <c r="F44" s="1199">
        <v>0</v>
      </c>
      <c r="G44" s="1200">
        <v>2.4</v>
      </c>
      <c r="H44" s="1047"/>
      <c r="I44" s="1047"/>
      <c r="J44" s="1047"/>
      <c r="K44" s="1047"/>
      <c r="L44" s="1117"/>
      <c r="M44" s="1047"/>
      <c r="N44" s="1047"/>
    </row>
    <row r="45" spans="1:14" s="111" customFormat="1" ht="18" customHeight="1">
      <c r="A45" s="1047"/>
      <c r="B45" s="1047"/>
      <c r="C45" s="1738"/>
      <c r="D45" s="1204" t="s">
        <v>617</v>
      </c>
      <c r="E45" s="1209">
        <v>0.6</v>
      </c>
      <c r="F45" s="1209">
        <v>0.2</v>
      </c>
      <c r="G45" s="1206">
        <v>0.8</v>
      </c>
      <c r="H45" s="1047"/>
      <c r="I45" s="1047"/>
      <c r="J45" s="1047"/>
      <c r="K45" s="1047"/>
      <c r="L45" s="1117"/>
      <c r="M45" s="1047"/>
      <c r="N45" s="1047"/>
    </row>
    <row r="46" spans="1:14" s="111" customFormat="1" ht="18" customHeight="1">
      <c r="A46" s="1047"/>
      <c r="B46" s="1047"/>
      <c r="C46" s="1738"/>
      <c r="D46" s="1204" t="s">
        <v>455</v>
      </c>
      <c r="E46" s="1205">
        <v>0</v>
      </c>
      <c r="F46" s="1205">
        <v>0</v>
      </c>
      <c r="G46" s="1206">
        <v>0</v>
      </c>
      <c r="H46" s="1047"/>
      <c r="I46" s="1047"/>
      <c r="J46" s="1047"/>
      <c r="K46" s="1047"/>
      <c r="L46" s="1117"/>
      <c r="M46" s="1047"/>
      <c r="N46" s="1047"/>
    </row>
    <row r="47" spans="1:14" s="111" customFormat="1" ht="18" customHeight="1">
      <c r="A47" s="1047"/>
      <c r="B47" s="1047"/>
      <c r="C47" s="1738"/>
      <c r="D47" s="1204" t="s">
        <v>453</v>
      </c>
      <c r="E47" s="1205">
        <v>0.7</v>
      </c>
      <c r="F47" s="1205">
        <v>0</v>
      </c>
      <c r="G47" s="1206">
        <v>0.7</v>
      </c>
      <c r="H47" s="1047"/>
      <c r="I47" s="1047"/>
      <c r="J47" s="1047"/>
      <c r="K47" s="1047"/>
      <c r="L47" s="1117"/>
      <c r="M47" s="1047"/>
      <c r="N47" s="1047"/>
    </row>
    <row r="48" spans="1:14" s="111" customFormat="1" ht="18" customHeight="1">
      <c r="A48" s="1047"/>
      <c r="B48" s="1047"/>
      <c r="C48" s="1738"/>
      <c r="D48" s="1204" t="s">
        <v>456</v>
      </c>
      <c r="E48" s="1211">
        <v>2.2000000000000002</v>
      </c>
      <c r="F48" s="1211">
        <v>0.1</v>
      </c>
      <c r="G48" s="1206">
        <v>2.3000000000000003</v>
      </c>
      <c r="H48" s="1047"/>
      <c r="I48" s="1047"/>
      <c r="J48" s="1047"/>
      <c r="K48" s="1047"/>
      <c r="L48" s="1117"/>
      <c r="M48" s="1047"/>
      <c r="N48" s="1047"/>
    </row>
    <row r="49" spans="1:14" s="111" customFormat="1" ht="18" customHeight="1" thickBot="1">
      <c r="A49" s="1047"/>
      <c r="B49" s="1047"/>
      <c r="C49" s="1739"/>
      <c r="D49" s="1207" t="s">
        <v>457</v>
      </c>
      <c r="E49" s="1208">
        <v>0.6</v>
      </c>
      <c r="F49" s="1208">
        <v>0</v>
      </c>
      <c r="G49" s="1203">
        <v>0.6</v>
      </c>
      <c r="H49" s="1047"/>
      <c r="I49" s="1047"/>
      <c r="J49" s="1047"/>
      <c r="K49" s="1047"/>
      <c r="L49" s="1117"/>
      <c r="M49" s="1047"/>
      <c r="N49" s="1047"/>
    </row>
    <row r="50" spans="1:14" s="111" customFormat="1" ht="18" customHeight="1">
      <c r="A50" s="1047"/>
      <c r="B50" s="1047"/>
      <c r="C50" s="1737" t="s">
        <v>426</v>
      </c>
      <c r="D50" s="1197" t="s">
        <v>454</v>
      </c>
      <c r="E50" s="1209">
        <v>0.5</v>
      </c>
      <c r="F50" s="1209">
        <v>0</v>
      </c>
      <c r="G50" s="1200">
        <v>0.5</v>
      </c>
      <c r="H50" s="1047"/>
      <c r="I50" s="1047"/>
      <c r="J50" s="1047"/>
      <c r="K50" s="1047"/>
      <c r="L50" s="1117"/>
      <c r="M50" s="1047"/>
      <c r="N50" s="1047"/>
    </row>
    <row r="51" spans="1:14" s="111" customFormat="1" ht="18" customHeight="1">
      <c r="A51" s="1047"/>
      <c r="B51" s="1047"/>
      <c r="C51" s="1738"/>
      <c r="D51" s="1204" t="s">
        <v>617</v>
      </c>
      <c r="E51" s="1205">
        <v>0</v>
      </c>
      <c r="F51" s="1205">
        <v>0</v>
      </c>
      <c r="G51" s="1206">
        <v>0</v>
      </c>
      <c r="H51" s="1047"/>
      <c r="I51" s="1047"/>
      <c r="J51" s="1047"/>
      <c r="K51" s="1047"/>
      <c r="L51" s="1117"/>
      <c r="M51" s="1047"/>
      <c r="N51" s="1047"/>
    </row>
    <row r="52" spans="1:14" s="111" customFormat="1" ht="18" customHeight="1">
      <c r="A52" s="1047"/>
      <c r="B52" s="1047"/>
      <c r="C52" s="1738"/>
      <c r="D52" s="1210" t="s">
        <v>655</v>
      </c>
      <c r="E52" s="1205">
        <v>0</v>
      </c>
      <c r="F52" s="1205">
        <v>0</v>
      </c>
      <c r="G52" s="1206">
        <v>0</v>
      </c>
      <c r="H52" s="1047"/>
      <c r="I52" s="1047"/>
      <c r="J52" s="1047"/>
      <c r="K52" s="1047"/>
      <c r="L52" s="1117"/>
      <c r="M52" s="1047"/>
      <c r="N52" s="1047"/>
    </row>
    <row r="53" spans="1:14" s="111" customFormat="1" ht="18" customHeight="1">
      <c r="A53" s="1047"/>
      <c r="B53" s="1047"/>
      <c r="C53" s="1738"/>
      <c r="D53" s="1210" t="s">
        <v>453</v>
      </c>
      <c r="E53" s="1205">
        <v>0.2</v>
      </c>
      <c r="F53" s="1205">
        <v>0</v>
      </c>
      <c r="G53" s="1206">
        <v>0.2</v>
      </c>
      <c r="H53" s="1047"/>
      <c r="I53" s="1047"/>
      <c r="J53" s="1047"/>
      <c r="K53" s="1047"/>
      <c r="L53" s="1117"/>
      <c r="M53" s="1047"/>
      <c r="N53" s="1047"/>
    </row>
    <row r="54" spans="1:14" s="111" customFormat="1" ht="18" customHeight="1">
      <c r="A54" s="1047"/>
      <c r="B54" s="1047"/>
      <c r="C54" s="1738"/>
      <c r="D54" s="1210" t="s">
        <v>456</v>
      </c>
      <c r="E54" s="1205">
        <v>0.2</v>
      </c>
      <c r="F54" s="1205">
        <v>0</v>
      </c>
      <c r="G54" s="1206">
        <v>0.2</v>
      </c>
      <c r="H54" s="1047"/>
      <c r="I54" s="1047"/>
      <c r="J54" s="1047"/>
      <c r="K54" s="1047"/>
      <c r="L54" s="1117"/>
      <c r="M54" s="1047"/>
      <c r="N54" s="1047"/>
    </row>
    <row r="55" spans="1:14" s="111" customFormat="1" ht="18" customHeight="1" thickBot="1">
      <c r="A55" s="1047"/>
      <c r="B55" s="1047"/>
      <c r="C55" s="1739"/>
      <c r="D55" s="1207" t="s">
        <v>457</v>
      </c>
      <c r="E55" s="1208">
        <v>0.2</v>
      </c>
      <c r="F55" s="1208">
        <v>0</v>
      </c>
      <c r="G55" s="1206">
        <v>0.2</v>
      </c>
      <c r="H55" s="1047"/>
      <c r="I55" s="1047"/>
      <c r="J55" s="1047"/>
      <c r="K55" s="1047"/>
      <c r="L55" s="1117"/>
      <c r="M55" s="1047"/>
      <c r="N55" s="1047"/>
    </row>
    <row r="56" spans="1:14" s="111" customFormat="1" ht="18" customHeight="1" thickBot="1">
      <c r="A56" s="1047"/>
      <c r="B56" s="1047"/>
      <c r="C56" s="1688" t="s">
        <v>656</v>
      </c>
      <c r="D56" s="1690"/>
      <c r="E56" s="1212">
        <v>28.999999999999996</v>
      </c>
      <c r="F56" s="1212">
        <v>2.1</v>
      </c>
      <c r="G56" s="1212">
        <v>31.099999999999998</v>
      </c>
      <c r="H56" s="1213"/>
      <c r="I56" s="1047"/>
      <c r="J56" s="1047"/>
      <c r="K56" s="1047"/>
      <c r="L56" s="1047"/>
      <c r="M56" s="1117"/>
      <c r="N56" s="1047"/>
    </row>
    <row r="57" spans="1:14" s="111" customFormat="1" ht="18" customHeight="1" thickBot="1">
      <c r="A57" s="1047"/>
      <c r="B57" s="1047"/>
      <c r="C57" s="1740" t="s">
        <v>647</v>
      </c>
      <c r="D57" s="1741"/>
      <c r="E57" s="1205">
        <v>0</v>
      </c>
      <c r="F57" s="1205">
        <v>0</v>
      </c>
      <c r="G57" s="1206">
        <v>0</v>
      </c>
      <c r="H57" s="1213"/>
      <c r="I57" s="1213"/>
      <c r="J57" s="1213"/>
      <c r="K57" s="1047"/>
      <c r="L57" s="1047"/>
      <c r="M57" s="1117"/>
      <c r="N57" s="1047"/>
    </row>
    <row r="58" spans="1:14" s="111" customFormat="1" ht="18" customHeight="1" thickBot="1">
      <c r="A58" s="1047"/>
      <c r="B58" s="1047"/>
      <c r="C58" s="1688" t="s">
        <v>657</v>
      </c>
      <c r="D58" s="1690"/>
      <c r="E58" s="1212">
        <v>28.999999999999996</v>
      </c>
      <c r="F58" s="1212">
        <v>2.1</v>
      </c>
      <c r="G58" s="1212">
        <v>31.099999999999998</v>
      </c>
      <c r="H58" s="1047"/>
      <c r="I58" s="1047"/>
      <c r="J58" s="1047"/>
      <c r="K58" s="1047"/>
      <c r="L58" s="1117"/>
      <c r="M58" s="1047"/>
      <c r="N58" s="1047"/>
    </row>
    <row r="59" spans="1:14" s="111" customFormat="1" ht="18" customHeight="1" thickBot="1">
      <c r="C59" s="1742"/>
      <c r="D59" s="1742"/>
    </row>
    <row r="60" spans="1:14" s="111" customFormat="1" ht="18" customHeight="1" thickBot="1">
      <c r="A60" s="1047"/>
      <c r="B60" s="1047"/>
      <c r="C60" s="1743" t="s">
        <v>658</v>
      </c>
      <c r="D60" s="1744"/>
      <c r="E60" s="1214" t="s">
        <v>244</v>
      </c>
      <c r="F60" s="1214" t="s">
        <v>245</v>
      </c>
      <c r="G60" s="1214" t="s">
        <v>427</v>
      </c>
      <c r="H60" s="1214" t="s">
        <v>426</v>
      </c>
      <c r="I60" s="1214" t="s">
        <v>220</v>
      </c>
      <c r="J60" s="1047"/>
      <c r="K60" s="1047"/>
      <c r="L60" s="1047"/>
      <c r="M60" s="1117"/>
      <c r="N60" s="1047"/>
    </row>
    <row r="61" spans="1:14" s="111" customFormat="1" ht="18" customHeight="1" thickBot="1">
      <c r="A61" s="1047"/>
      <c r="B61" s="1047"/>
      <c r="C61" s="1745" t="s">
        <v>634</v>
      </c>
      <c r="D61" s="1746"/>
      <c r="E61" s="1129" t="s">
        <v>591</v>
      </c>
      <c r="F61" s="1129" t="s">
        <v>591</v>
      </c>
      <c r="G61" s="1129" t="s">
        <v>591</v>
      </c>
      <c r="H61" s="1129" t="s">
        <v>591</v>
      </c>
      <c r="I61" s="1129" t="s">
        <v>591</v>
      </c>
      <c r="J61" s="1047"/>
      <c r="K61" s="1047"/>
      <c r="L61" s="1047"/>
      <c r="M61" s="1047"/>
      <c r="N61" s="1117"/>
    </row>
    <row r="62" spans="1:14" s="111" customFormat="1" ht="18" customHeight="1">
      <c r="A62" s="1047"/>
      <c r="B62" s="1047"/>
      <c r="C62" s="1747" t="s">
        <v>659</v>
      </c>
      <c r="D62" s="1748"/>
      <c r="E62" s="1209">
        <v>0</v>
      </c>
      <c r="F62" s="1209">
        <v>2.9</v>
      </c>
      <c r="G62" s="1209">
        <v>0.1</v>
      </c>
      <c r="H62" s="1209">
        <v>0</v>
      </c>
      <c r="I62" s="1215">
        <v>3</v>
      </c>
      <c r="J62" s="1047"/>
      <c r="K62" s="1047"/>
      <c r="L62" s="1047"/>
      <c r="M62" s="1047"/>
      <c r="N62" s="1117"/>
    </row>
    <row r="63" spans="1:14" s="111" customFormat="1" ht="18" customHeight="1">
      <c r="A63" s="1047"/>
      <c r="B63" s="1047"/>
      <c r="C63" s="1735" t="s">
        <v>660</v>
      </c>
      <c r="D63" s="1736"/>
      <c r="E63" s="1205">
        <v>0.1</v>
      </c>
      <c r="F63" s="1205">
        <v>0.2</v>
      </c>
      <c r="G63" s="1205">
        <v>0.5</v>
      </c>
      <c r="H63" s="1205">
        <v>0</v>
      </c>
      <c r="I63" s="1216">
        <v>0.8</v>
      </c>
      <c r="J63" s="1047"/>
      <c r="K63" s="1047"/>
      <c r="L63" s="1047"/>
      <c r="M63" s="1047"/>
      <c r="N63" s="1117"/>
    </row>
    <row r="64" spans="1:14" s="111" customFormat="1" ht="18" customHeight="1">
      <c r="A64" s="1047"/>
      <c r="B64" s="1047"/>
      <c r="C64" s="1735" t="s">
        <v>661</v>
      </c>
      <c r="D64" s="1736"/>
      <c r="E64" s="1205">
        <v>0</v>
      </c>
      <c r="F64" s="1205">
        <v>0.1</v>
      </c>
      <c r="G64" s="1205">
        <v>0.2</v>
      </c>
      <c r="H64" s="1205">
        <v>0</v>
      </c>
      <c r="I64" s="1216">
        <v>0.30000000000000004</v>
      </c>
      <c r="J64" s="1047"/>
      <c r="K64" s="1047"/>
      <c r="L64" s="1047"/>
      <c r="M64" s="1047"/>
      <c r="N64" s="1117"/>
    </row>
    <row r="65" spans="1:14" s="111" customFormat="1" ht="18" customHeight="1">
      <c r="A65" s="1047"/>
      <c r="B65" s="1047"/>
      <c r="C65" s="1735" t="s">
        <v>662</v>
      </c>
      <c r="D65" s="1736"/>
      <c r="E65" s="1205">
        <v>0</v>
      </c>
      <c r="F65" s="1205">
        <v>0</v>
      </c>
      <c r="G65" s="1205">
        <v>0</v>
      </c>
      <c r="H65" s="1205">
        <v>0</v>
      </c>
      <c r="I65" s="1216">
        <v>0</v>
      </c>
      <c r="J65" s="1047"/>
      <c r="K65" s="1047"/>
      <c r="L65" s="1047"/>
      <c r="M65" s="1047"/>
      <c r="N65" s="1117"/>
    </row>
    <row r="66" spans="1:14" s="111" customFormat="1" ht="18" customHeight="1">
      <c r="A66" s="1047"/>
      <c r="B66" s="1047"/>
      <c r="C66" s="1735" t="s">
        <v>490</v>
      </c>
      <c r="D66" s="1736"/>
      <c r="E66" s="1205">
        <v>0</v>
      </c>
      <c r="F66" s="1205">
        <v>0</v>
      </c>
      <c r="G66" s="1205">
        <v>0</v>
      </c>
      <c r="H66" s="1205">
        <v>0</v>
      </c>
      <c r="I66" s="1216">
        <v>0</v>
      </c>
      <c r="J66" s="1047"/>
      <c r="K66" s="1047"/>
      <c r="L66" s="1047"/>
      <c r="M66" s="1047"/>
      <c r="N66" s="1117"/>
    </row>
    <row r="67" spans="1:14" s="111" customFormat="1" ht="18" customHeight="1">
      <c r="A67" s="1047"/>
      <c r="B67" s="1047"/>
      <c r="C67" s="1735" t="s">
        <v>663</v>
      </c>
      <c r="D67" s="1736"/>
      <c r="E67" s="1205">
        <v>0</v>
      </c>
      <c r="F67" s="1205">
        <v>0</v>
      </c>
      <c r="G67" s="1205">
        <v>0</v>
      </c>
      <c r="H67" s="1205">
        <v>0</v>
      </c>
      <c r="I67" s="1216">
        <v>0</v>
      </c>
      <c r="J67" s="1047"/>
      <c r="K67" s="1047"/>
      <c r="L67" s="1047"/>
      <c r="M67" s="1047"/>
      <c r="N67" s="1117"/>
    </row>
    <row r="68" spans="1:14" s="111" customFormat="1" ht="18" customHeight="1">
      <c r="A68" s="1047"/>
      <c r="B68" s="1047"/>
      <c r="C68" s="1735" t="s">
        <v>664</v>
      </c>
      <c r="D68" s="1736"/>
      <c r="E68" s="1205">
        <v>0</v>
      </c>
      <c r="F68" s="1205">
        <v>0</v>
      </c>
      <c r="G68" s="1205">
        <v>0</v>
      </c>
      <c r="H68" s="1205">
        <v>0</v>
      </c>
      <c r="I68" s="1216">
        <v>0</v>
      </c>
      <c r="J68" s="1047"/>
      <c r="K68" s="1047"/>
      <c r="L68" s="1047"/>
      <c r="M68" s="1047"/>
      <c r="N68" s="1117"/>
    </row>
    <row r="69" spans="1:14" s="111" customFormat="1" ht="18" customHeight="1">
      <c r="A69" s="1047"/>
      <c r="B69" s="1047"/>
      <c r="C69" s="1735" t="s">
        <v>665</v>
      </c>
      <c r="D69" s="1736"/>
      <c r="E69" s="1211">
        <v>0</v>
      </c>
      <c r="F69" s="1211">
        <v>0</v>
      </c>
      <c r="G69" s="1211">
        <v>0</v>
      </c>
      <c r="H69" s="1211">
        <v>0</v>
      </c>
      <c r="I69" s="1217">
        <v>0</v>
      </c>
      <c r="J69" s="1047"/>
      <c r="K69" s="1047"/>
      <c r="L69" s="1047"/>
      <c r="M69" s="1047"/>
      <c r="N69" s="1117"/>
    </row>
    <row r="70" spans="1:14" s="111" customFormat="1" ht="18" customHeight="1" thickBot="1">
      <c r="A70" s="1047"/>
      <c r="B70" s="1047"/>
      <c r="C70" s="1751" t="s">
        <v>666</v>
      </c>
      <c r="D70" s="1752"/>
      <c r="E70" s="1211">
        <v>0.6</v>
      </c>
      <c r="F70" s="1211">
        <v>1.4</v>
      </c>
      <c r="G70" s="1211">
        <v>0.3</v>
      </c>
      <c r="H70" s="1211">
        <v>0</v>
      </c>
      <c r="I70" s="1218">
        <v>2.2999999999999998</v>
      </c>
      <c r="J70" s="1047"/>
      <c r="K70" s="1047"/>
      <c r="L70" s="1047"/>
      <c r="M70" s="1047"/>
      <c r="N70" s="1117"/>
    </row>
    <row r="71" spans="1:14" s="111" customFormat="1" ht="18" customHeight="1" thickBot="1">
      <c r="A71" s="1047"/>
      <c r="B71" s="1047"/>
      <c r="C71" s="1749" t="s">
        <v>667</v>
      </c>
      <c r="D71" s="1750"/>
      <c r="E71" s="1219">
        <v>0.7</v>
      </c>
      <c r="F71" s="1219">
        <v>4.5999999999999996</v>
      </c>
      <c r="G71" s="1219">
        <v>1.1000000000000001</v>
      </c>
      <c r="H71" s="1219">
        <v>0</v>
      </c>
      <c r="I71" s="1219">
        <v>6.3999999999999995</v>
      </c>
      <c r="J71" s="1047"/>
      <c r="K71" s="1047"/>
      <c r="L71" s="1047"/>
      <c r="M71" s="1047"/>
      <c r="N71" s="1117"/>
    </row>
    <row r="72" spans="1:14" s="111" customFormat="1" ht="18" customHeight="1" thickBot="1">
      <c r="A72" s="1047"/>
      <c r="B72" s="1047"/>
      <c r="C72" s="1753" t="s">
        <v>647</v>
      </c>
      <c r="D72" s="1754"/>
      <c r="E72" s="1205">
        <v>0</v>
      </c>
      <c r="F72" s="1205">
        <v>0</v>
      </c>
      <c r="G72" s="1205">
        <v>0</v>
      </c>
      <c r="H72" s="1205">
        <v>0</v>
      </c>
      <c r="I72" s="1219">
        <v>0</v>
      </c>
      <c r="J72" s="1047"/>
      <c r="K72" s="1047"/>
      <c r="L72" s="1047"/>
      <c r="M72" s="1117"/>
      <c r="N72" s="1047"/>
    </row>
    <row r="73" spans="1:14" s="111" customFormat="1" ht="18" customHeight="1" thickBot="1">
      <c r="A73" s="1047"/>
      <c r="B73" s="1047"/>
      <c r="C73" s="1749" t="s">
        <v>668</v>
      </c>
      <c r="D73" s="1750"/>
      <c r="E73" s="1220">
        <v>0.7</v>
      </c>
      <c r="F73" s="1220">
        <v>4.5999999999999996</v>
      </c>
      <c r="G73" s="1220">
        <v>1.1000000000000001</v>
      </c>
      <c r="H73" s="1220">
        <v>0</v>
      </c>
      <c r="I73" s="1220">
        <v>6.3999999999999995</v>
      </c>
      <c r="J73" s="1047"/>
      <c r="K73" s="1047"/>
      <c r="L73" s="1047"/>
      <c r="M73" s="1117"/>
      <c r="N73" s="1047"/>
    </row>
    <row r="74" spans="1:14" s="111" customFormat="1" ht="18" customHeight="1" thickBot="1">
      <c r="A74" s="1047"/>
      <c r="B74" s="1047"/>
      <c r="C74" s="1221"/>
      <c r="D74" s="1222"/>
      <c r="E74" s="1222"/>
      <c r="F74" s="1222"/>
      <c r="G74" s="1222"/>
      <c r="H74" s="1223"/>
      <c r="I74" s="1223"/>
      <c r="J74" s="1223"/>
      <c r="K74" s="1223"/>
      <c r="L74" s="1047"/>
      <c r="M74" s="1047"/>
      <c r="N74" s="1047"/>
    </row>
    <row r="75" spans="1:14" s="111" customFormat="1" ht="18" customHeight="1" thickBot="1">
      <c r="A75" s="1047"/>
      <c r="B75" s="1047"/>
      <c r="C75" s="1749" t="s">
        <v>669</v>
      </c>
      <c r="D75" s="1750"/>
      <c r="E75" s="1224">
        <v>37.5</v>
      </c>
      <c r="F75" s="1213"/>
      <c r="G75" s="1047"/>
      <c r="H75" s="1047"/>
      <c r="I75" s="1047"/>
      <c r="J75" s="1047"/>
      <c r="K75" s="1047"/>
      <c r="L75" s="1047"/>
      <c r="M75" s="1117"/>
      <c r="N75" s="1047"/>
    </row>
    <row r="76" spans="1:14" s="111" customFormat="1" ht="18" customHeight="1" thickBot="1">
      <c r="A76" s="1047"/>
      <c r="B76" s="1047"/>
      <c r="C76" s="1749" t="s">
        <v>647</v>
      </c>
      <c r="D76" s="1750"/>
      <c r="E76" s="1225">
        <v>0</v>
      </c>
      <c r="F76" s="1213"/>
      <c r="G76" s="1047"/>
      <c r="H76" s="1047"/>
      <c r="I76" s="1047"/>
      <c r="J76" s="1047"/>
      <c r="K76" s="1047"/>
      <c r="L76" s="1047"/>
      <c r="M76" s="1117"/>
      <c r="N76" s="1047"/>
    </row>
    <row r="77" spans="1:14" s="111" customFormat="1" ht="18" customHeight="1" thickBot="1">
      <c r="A77" s="1047"/>
      <c r="B77" s="1047"/>
      <c r="C77" s="1749" t="s">
        <v>670</v>
      </c>
      <c r="D77" s="1750"/>
      <c r="E77" s="1220">
        <v>37.5</v>
      </c>
      <c r="F77" s="1047"/>
      <c r="G77" s="1047"/>
      <c r="H77" s="1047"/>
      <c r="I77" s="1047"/>
      <c r="J77" s="1047"/>
      <c r="K77" s="1047"/>
      <c r="L77" s="1047"/>
      <c r="M77" s="1117"/>
      <c r="N77" s="1047"/>
    </row>
    <row r="78" spans="1:14" s="111" customFormat="1" ht="18" customHeight="1" thickBot="1">
      <c r="A78" s="1047"/>
      <c r="B78" s="1047"/>
      <c r="C78" s="1040"/>
      <c r="D78" s="1040"/>
      <c r="E78" s="1040"/>
      <c r="F78" s="1040"/>
      <c r="G78" s="1040"/>
      <c r="H78" s="1040"/>
      <c r="I78" s="1040"/>
      <c r="J78" s="1040"/>
      <c r="K78" s="1040"/>
      <c r="L78" s="1047"/>
      <c r="M78" s="1047"/>
      <c r="N78" s="1047"/>
    </row>
    <row r="79" spans="1:14" s="111" customFormat="1" ht="18.75" thickBot="1">
      <c r="A79" s="1047"/>
      <c r="B79" s="1047"/>
      <c r="C79" s="1226" t="s">
        <v>671</v>
      </c>
      <c r="D79" s="1227"/>
      <c r="E79" s="1228"/>
      <c r="F79" s="1228"/>
      <c r="G79" s="1229"/>
      <c r="H79" s="1047"/>
      <c r="I79" s="1047"/>
      <c r="J79" s="1047"/>
      <c r="K79" s="1047"/>
      <c r="L79" s="1047"/>
      <c r="M79" s="1047"/>
      <c r="N79" s="1047"/>
    </row>
    <row r="80" spans="1:14" s="111" customFormat="1" ht="60.75" thickBot="1">
      <c r="A80" s="1047"/>
      <c r="B80" s="1047"/>
      <c r="C80" s="1757" t="s">
        <v>634</v>
      </c>
      <c r="D80" s="1758"/>
      <c r="E80" s="1230" t="s">
        <v>220</v>
      </c>
      <c r="F80" s="1231" t="s">
        <v>672</v>
      </c>
      <c r="G80" s="1231" t="s">
        <v>673</v>
      </c>
      <c r="H80" s="1047"/>
      <c r="I80" s="1047"/>
      <c r="J80" s="1047"/>
      <c r="K80" s="1047"/>
      <c r="L80" s="1047"/>
      <c r="M80" s="1047"/>
      <c r="N80" s="1047"/>
    </row>
    <row r="81" spans="1:14" s="111" customFormat="1" ht="15.75" thickBot="1">
      <c r="A81" s="1047"/>
      <c r="B81" s="1047"/>
      <c r="C81" s="1759"/>
      <c r="D81" s="1760"/>
      <c r="E81" s="1232" t="s">
        <v>591</v>
      </c>
      <c r="F81" s="1129" t="s">
        <v>591</v>
      </c>
      <c r="G81" s="1129" t="s">
        <v>591</v>
      </c>
      <c r="H81" s="1047"/>
      <c r="I81" s="1047"/>
      <c r="J81" s="1047"/>
      <c r="K81" s="1047"/>
      <c r="L81" s="1047"/>
      <c r="M81" s="1047"/>
      <c r="N81" s="1047"/>
    </row>
    <row r="82" spans="1:14" s="111" customFormat="1" ht="18" customHeight="1">
      <c r="A82" s="1047"/>
      <c r="B82" s="1047"/>
      <c r="C82" s="1694" t="s">
        <v>674</v>
      </c>
      <c r="D82" s="1696"/>
      <c r="E82" s="1200">
        <v>1.9</v>
      </c>
      <c r="F82" s="1198">
        <v>0</v>
      </c>
      <c r="G82" s="1198">
        <v>1.9</v>
      </c>
      <c r="H82" s="1047"/>
      <c r="I82" s="1047"/>
      <c r="J82" s="1047"/>
      <c r="K82" s="1047"/>
      <c r="L82" s="1047"/>
      <c r="M82" s="1047"/>
      <c r="N82" s="1047"/>
    </row>
    <row r="83" spans="1:14" s="111" customFormat="1" ht="18" customHeight="1">
      <c r="A83" s="1047"/>
      <c r="B83" s="1047"/>
      <c r="C83" s="1755" t="s">
        <v>675</v>
      </c>
      <c r="D83" s="1756"/>
      <c r="E83" s="1206">
        <v>0</v>
      </c>
      <c r="F83" s="1198">
        <v>0</v>
      </c>
      <c r="G83" s="1198">
        <v>0</v>
      </c>
      <c r="H83" s="1047"/>
      <c r="I83" s="1047"/>
      <c r="J83" s="1047"/>
      <c r="K83" s="1047"/>
      <c r="L83" s="1047"/>
      <c r="M83" s="1047"/>
      <c r="N83" s="1047"/>
    </row>
    <row r="84" spans="1:14" s="111" customFormat="1" ht="18" customHeight="1">
      <c r="A84" s="1047"/>
      <c r="B84" s="1047"/>
      <c r="C84" s="1755" t="s">
        <v>676</v>
      </c>
      <c r="D84" s="1756"/>
      <c r="E84" s="1206">
        <v>0.6</v>
      </c>
      <c r="F84" s="1198">
        <v>0.6</v>
      </c>
      <c r="G84" s="1198">
        <v>0</v>
      </c>
      <c r="H84" s="1047"/>
      <c r="I84" s="1047"/>
      <c r="J84" s="1047"/>
      <c r="K84" s="1047"/>
      <c r="L84" s="1047"/>
      <c r="M84" s="1047"/>
      <c r="N84" s="1047"/>
    </row>
    <row r="85" spans="1:14" s="111" customFormat="1" ht="18" customHeight="1">
      <c r="A85" s="1047"/>
      <c r="B85" s="1047"/>
      <c r="C85" s="1755" t="s">
        <v>677</v>
      </c>
      <c r="D85" s="1756"/>
      <c r="E85" s="1206">
        <v>0.2</v>
      </c>
      <c r="F85" s="1198">
        <v>0.2</v>
      </c>
      <c r="G85" s="1198">
        <v>0</v>
      </c>
      <c r="H85" s="1047"/>
      <c r="I85" s="1047"/>
      <c r="J85" s="1047"/>
      <c r="K85" s="1047"/>
      <c r="L85" s="1047"/>
      <c r="M85" s="1047"/>
      <c r="N85" s="1047"/>
    </row>
    <row r="86" spans="1:14" s="111" customFormat="1" ht="18" customHeight="1">
      <c r="A86" s="1047"/>
      <c r="B86" s="1047"/>
      <c r="C86" s="1755" t="s">
        <v>678</v>
      </c>
      <c r="D86" s="1756"/>
      <c r="E86" s="1206">
        <v>0</v>
      </c>
      <c r="F86" s="1198">
        <v>0</v>
      </c>
      <c r="G86" s="1198">
        <v>0</v>
      </c>
      <c r="H86" s="1047"/>
      <c r="I86" s="1047"/>
      <c r="J86" s="1047"/>
      <c r="K86" s="1047"/>
      <c r="L86" s="1047"/>
      <c r="M86" s="1047"/>
      <c r="N86" s="1047"/>
    </row>
    <row r="87" spans="1:14" s="111" customFormat="1" ht="18" customHeight="1">
      <c r="A87" s="1047"/>
      <c r="B87" s="1047"/>
      <c r="C87" s="1755" t="s">
        <v>679</v>
      </c>
      <c r="D87" s="1756"/>
      <c r="E87" s="1206">
        <v>0.7</v>
      </c>
      <c r="F87" s="1198">
        <v>0.7</v>
      </c>
      <c r="G87" s="1198">
        <v>0</v>
      </c>
      <c r="H87" s="1047"/>
      <c r="I87" s="1047"/>
      <c r="J87" s="1047"/>
      <c r="K87" s="1047"/>
      <c r="L87" s="1047"/>
      <c r="M87" s="1047"/>
      <c r="N87" s="1047"/>
    </row>
    <row r="88" spans="1:14" s="111" customFormat="1" ht="18" customHeight="1" thickBot="1">
      <c r="A88" s="1047"/>
      <c r="B88" s="1047"/>
      <c r="C88" s="1697" t="s">
        <v>680</v>
      </c>
      <c r="D88" s="1699"/>
      <c r="E88" s="1206">
        <v>0.8</v>
      </c>
      <c r="F88" s="1198">
        <v>0.8</v>
      </c>
      <c r="G88" s="1198">
        <v>0</v>
      </c>
      <c r="H88" s="1213"/>
      <c r="I88" s="1047"/>
      <c r="J88" s="1047"/>
      <c r="K88" s="1047"/>
      <c r="L88" s="1047"/>
      <c r="M88" s="1047"/>
      <c r="N88" s="1047"/>
    </row>
    <row r="89" spans="1:14" s="111" customFormat="1" ht="18" customHeight="1" thickBot="1">
      <c r="A89" s="1047"/>
      <c r="B89" s="1047"/>
      <c r="C89" s="1688" t="s">
        <v>681</v>
      </c>
      <c r="D89" s="1690"/>
      <c r="E89" s="1219">
        <v>4.2</v>
      </c>
      <c r="F89" s="1219">
        <v>2.2999999999999998</v>
      </c>
      <c r="G89" s="1219">
        <v>1.9</v>
      </c>
      <c r="H89" s="1213"/>
      <c r="I89" s="1047"/>
      <c r="J89" s="1047"/>
      <c r="K89" s="1047"/>
      <c r="L89" s="1047"/>
      <c r="M89" s="1047"/>
      <c r="N89" s="1047"/>
    </row>
  </sheetData>
  <mergeCells count="57">
    <mergeCell ref="C87:D87"/>
    <mergeCell ref="C88:D88"/>
    <mergeCell ref="C89:D89"/>
    <mergeCell ref="C80:D81"/>
    <mergeCell ref="C82:D82"/>
    <mergeCell ref="C83:D83"/>
    <mergeCell ref="C84:D84"/>
    <mergeCell ref="C85:D85"/>
    <mergeCell ref="C86:D86"/>
    <mergeCell ref="C77:D77"/>
    <mergeCell ref="C65:D65"/>
    <mergeCell ref="C66:D66"/>
    <mergeCell ref="C67:D67"/>
    <mergeCell ref="C68:D68"/>
    <mergeCell ref="C69:D69"/>
    <mergeCell ref="C70:D70"/>
    <mergeCell ref="C71:D71"/>
    <mergeCell ref="C72:D72"/>
    <mergeCell ref="C73:D73"/>
    <mergeCell ref="C75:D75"/>
    <mergeCell ref="C76:D76"/>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21:D21"/>
    <mergeCell ref="C22:D22"/>
    <mergeCell ref="C23:D23"/>
    <mergeCell ref="C24:D24"/>
    <mergeCell ref="E28:F28"/>
    <mergeCell ref="C25:D25"/>
    <mergeCell ref="C27:D27"/>
    <mergeCell ref="C28:D30"/>
    <mergeCell ref="C20:D20"/>
    <mergeCell ref="C19:D19"/>
    <mergeCell ref="C7:D7"/>
    <mergeCell ref="C8:D9"/>
    <mergeCell ref="C10:D10"/>
    <mergeCell ref="C11:D11"/>
    <mergeCell ref="C12:D12"/>
    <mergeCell ref="C13:D13"/>
    <mergeCell ref="C14:D14"/>
    <mergeCell ref="C15:D15"/>
    <mergeCell ref="C16:D16"/>
    <mergeCell ref="C17:D17"/>
    <mergeCell ref="C18:D18"/>
  </mergeCells>
  <phoneticPr fontId="1" type="noConversion"/>
  <dataValidations count="1">
    <dataValidation type="decimal" operator="lessThanOrEqual" allowBlank="1" showInputMessage="1" showErrorMessage="1" sqref="K24 E72:I72 E57:F57 E24:G24">
      <formula1>0</formula1>
    </dataValidation>
  </dataValidation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5FFFF"/>
    <pageSetUpPr fitToPage="1"/>
  </sheetPr>
  <dimension ref="A1:M101"/>
  <sheetViews>
    <sheetView workbookViewId="0">
      <selection sqref="A1:XFD1048576"/>
    </sheetView>
  </sheetViews>
  <sheetFormatPr defaultColWidth="10.140625" defaultRowHeight="12.75"/>
  <cols>
    <col min="1" max="3" width="10.140625" style="111"/>
    <col min="4" max="6" width="12.28515625" style="111" customWidth="1"/>
    <col min="7" max="16384" width="10.140625" style="111"/>
  </cols>
  <sheetData>
    <row r="1" spans="1:13">
      <c r="A1" s="1031" t="s">
        <v>682</v>
      </c>
      <c r="F1" s="1032"/>
    </row>
    <row r="2" spans="1:13">
      <c r="A2" s="1031"/>
    </row>
    <row r="3" spans="1:13">
      <c r="A3" s="1031" t="s">
        <v>101</v>
      </c>
    </row>
    <row r="5" spans="1:13">
      <c r="A5" s="1233" t="s">
        <v>683</v>
      </c>
      <c r="B5" s="1039"/>
      <c r="C5" s="1039"/>
      <c r="D5" s="1039"/>
      <c r="E5" s="1039"/>
      <c r="F5" s="1234"/>
      <c r="G5" s="1234"/>
      <c r="H5" s="1234"/>
      <c r="I5" s="1234"/>
      <c r="J5" s="1234"/>
      <c r="K5" s="1234"/>
      <c r="L5" s="1234"/>
      <c r="M5" s="1234"/>
    </row>
    <row r="6" spans="1:13" ht="13.5" thickBot="1">
      <c r="A6" s="1235"/>
      <c r="B6" s="1236"/>
      <c r="C6" s="1237"/>
      <c r="D6" s="1238"/>
      <c r="E6" s="1236"/>
      <c r="F6" s="1236"/>
      <c r="G6" s="1235"/>
      <c r="H6" s="1235"/>
      <c r="I6" s="1235"/>
      <c r="J6" s="1235"/>
      <c r="K6" s="1235"/>
      <c r="L6" s="1235"/>
      <c r="M6" s="1235"/>
    </row>
    <row r="7" spans="1:13" ht="13.5" thickBot="1">
      <c r="A7" s="1234"/>
      <c r="B7" s="1239"/>
      <c r="C7" s="1240" t="s">
        <v>684</v>
      </c>
      <c r="D7" s="1241"/>
      <c r="E7" s="1242"/>
      <c r="F7" s="1242"/>
      <c r="G7" s="1242"/>
      <c r="H7" s="1243"/>
      <c r="I7" s="1244"/>
      <c r="J7" s="1234"/>
      <c r="K7" s="1234"/>
      <c r="L7" s="1234"/>
      <c r="M7" s="1234"/>
    </row>
    <row r="8" spans="1:13" ht="13.5" thickBot="1">
      <c r="A8" s="1234"/>
      <c r="B8" s="1245"/>
      <c r="C8" s="1221"/>
      <c r="D8" s="1221"/>
      <c r="E8" s="1234"/>
      <c r="F8" s="1234"/>
      <c r="G8" s="1246" t="s">
        <v>591</v>
      </c>
      <c r="H8" s="1246" t="s">
        <v>591</v>
      </c>
      <c r="I8" s="1247"/>
      <c r="J8" s="1234"/>
      <c r="K8" s="1234"/>
      <c r="L8" s="1234"/>
      <c r="M8" s="1234"/>
    </row>
    <row r="9" spans="1:13">
      <c r="A9" s="1234"/>
      <c r="B9" s="1248"/>
      <c r="C9" s="1240" t="s">
        <v>685</v>
      </c>
      <c r="D9" s="1221"/>
      <c r="E9" s="1249"/>
      <c r="F9" s="1234"/>
      <c r="G9" s="1250"/>
      <c r="H9" s="1251"/>
      <c r="I9" s="1247"/>
      <c r="J9" s="1234"/>
      <c r="K9" s="1234"/>
      <c r="L9" s="1234"/>
      <c r="M9" s="1234"/>
    </row>
    <row r="10" spans="1:13">
      <c r="A10" s="1234"/>
      <c r="B10" s="1252"/>
      <c r="C10" s="1132"/>
      <c r="D10" s="1253" t="s">
        <v>686</v>
      </c>
      <c r="E10" s="1254"/>
      <c r="F10" s="1235"/>
      <c r="G10" s="1255">
        <v>4.3</v>
      </c>
      <c r="H10" s="1256">
        <v>0</v>
      </c>
      <c r="I10" s="1257"/>
      <c r="J10" s="1258"/>
      <c r="K10" s="1258"/>
      <c r="L10" s="1258"/>
      <c r="M10" s="1234"/>
    </row>
    <row r="11" spans="1:13">
      <c r="A11" s="1234"/>
      <c r="B11" s="1252"/>
      <c r="C11" s="1132"/>
      <c r="D11" s="1253" t="s">
        <v>687</v>
      </c>
      <c r="E11" s="1254"/>
      <c r="F11" s="1235"/>
      <c r="G11" s="1255">
        <v>0.6</v>
      </c>
      <c r="H11" s="1256">
        <v>0</v>
      </c>
      <c r="I11" s="1257"/>
      <c r="J11" s="1258"/>
      <c r="K11" s="1258"/>
      <c r="L11" s="1258"/>
      <c r="M11" s="1234"/>
    </row>
    <row r="12" spans="1:13">
      <c r="A12" s="1234"/>
      <c r="B12" s="1252"/>
      <c r="C12" s="1132"/>
      <c r="D12" s="1253" t="s">
        <v>688</v>
      </c>
      <c r="E12" s="1254"/>
      <c r="F12" s="1054"/>
      <c r="G12" s="1255">
        <v>14.1</v>
      </c>
      <c r="H12" s="1256">
        <v>0</v>
      </c>
      <c r="I12" s="1257"/>
      <c r="J12" s="1258"/>
      <c r="K12" s="1258"/>
      <c r="L12" s="1258"/>
      <c r="M12" s="1234"/>
    </row>
    <row r="13" spans="1:13">
      <c r="A13" s="1234"/>
      <c r="B13" s="1252"/>
      <c r="C13" s="1132"/>
      <c r="D13" s="1253" t="s">
        <v>689</v>
      </c>
      <c r="E13" s="1254"/>
      <c r="F13" s="1054"/>
      <c r="G13" s="1255">
        <v>0.9</v>
      </c>
      <c r="H13" s="1256">
        <v>0</v>
      </c>
      <c r="I13" s="1257"/>
      <c r="J13" s="1258"/>
      <c r="K13" s="1258"/>
      <c r="L13" s="1258"/>
      <c r="M13" s="1234"/>
    </row>
    <row r="14" spans="1:13">
      <c r="A14" s="1234"/>
      <c r="B14" s="1252"/>
      <c r="C14" s="1132"/>
      <c r="D14" s="1259" t="s">
        <v>690</v>
      </c>
      <c r="E14" s="1254"/>
      <c r="F14" s="1054"/>
      <c r="G14" s="1255">
        <v>0</v>
      </c>
      <c r="H14" s="1256">
        <v>0</v>
      </c>
      <c r="I14" s="1257"/>
      <c r="J14" s="1258"/>
      <c r="K14" s="1258"/>
      <c r="L14" s="1258"/>
      <c r="M14" s="1234"/>
    </row>
    <row r="15" spans="1:13" ht="25.5" customHeight="1">
      <c r="A15" s="1234"/>
      <c r="B15" s="1252"/>
      <c r="C15" s="1254"/>
      <c r="D15" s="1762" t="s">
        <v>691</v>
      </c>
      <c r="E15" s="1762"/>
      <c r="F15" s="1763"/>
      <c r="G15" s="1260">
        <v>0</v>
      </c>
      <c r="H15" s="1256">
        <v>19.899999999999999</v>
      </c>
      <c r="I15" s="1257"/>
      <c r="J15" s="1258"/>
      <c r="K15" s="1258"/>
      <c r="L15" s="1258"/>
      <c r="M15" s="1234"/>
    </row>
    <row r="16" spans="1:13">
      <c r="A16" s="1234"/>
      <c r="B16" s="1252"/>
      <c r="C16" s="1240" t="s">
        <v>692</v>
      </c>
      <c r="D16" s="1259"/>
      <c r="E16" s="1254"/>
      <c r="F16" s="1235"/>
      <c r="G16" s="1261"/>
      <c r="H16" s="1262">
        <v>0</v>
      </c>
      <c r="I16" s="1257"/>
      <c r="J16" s="1258"/>
      <c r="K16" s="1258"/>
      <c r="L16" s="1258"/>
      <c r="M16" s="1234"/>
    </row>
    <row r="17" spans="1:13" ht="25.5" customHeight="1">
      <c r="A17" s="1234"/>
      <c r="B17" s="1252"/>
      <c r="C17" s="1254"/>
      <c r="D17" s="1762" t="s">
        <v>693</v>
      </c>
      <c r="E17" s="1762"/>
      <c r="F17" s="1763"/>
      <c r="G17" s="1255">
        <v>0</v>
      </c>
      <c r="H17" s="1256">
        <v>0</v>
      </c>
      <c r="I17" s="1257"/>
      <c r="J17" s="1258"/>
      <c r="K17" s="1258"/>
      <c r="L17" s="1258"/>
      <c r="M17" s="1234"/>
    </row>
    <row r="18" spans="1:13">
      <c r="A18" s="1234"/>
      <c r="B18" s="1252"/>
      <c r="C18" s="1254"/>
      <c r="D18" s="1259" t="s">
        <v>694</v>
      </c>
      <c r="E18" s="1254"/>
      <c r="F18" s="1235"/>
      <c r="G18" s="1255">
        <v>0.2</v>
      </c>
      <c r="H18" s="1256">
        <v>0</v>
      </c>
      <c r="I18" s="1257"/>
      <c r="J18" s="1258"/>
      <c r="K18" s="1258"/>
      <c r="L18" s="1258"/>
      <c r="M18" s="1234"/>
    </row>
    <row r="19" spans="1:13">
      <c r="A19" s="1234"/>
      <c r="B19" s="1252"/>
      <c r="C19" s="1254"/>
      <c r="D19" s="1259" t="s">
        <v>695</v>
      </c>
      <c r="E19" s="1254"/>
      <c r="F19" s="1235"/>
      <c r="G19" s="1260">
        <v>0.3</v>
      </c>
      <c r="H19" s="1256">
        <v>0.5</v>
      </c>
      <c r="I19" s="1257"/>
      <c r="J19" s="1258"/>
      <c r="K19" s="1258"/>
      <c r="L19" s="1258"/>
      <c r="M19" s="1234"/>
    </row>
    <row r="20" spans="1:13">
      <c r="A20" s="1234"/>
      <c r="B20" s="1252"/>
      <c r="C20" s="1240" t="s">
        <v>696</v>
      </c>
      <c r="D20" s="1259"/>
      <c r="E20" s="1254"/>
      <c r="F20" s="1235"/>
      <c r="G20" s="1261"/>
      <c r="H20" s="1262">
        <v>0</v>
      </c>
      <c r="I20" s="1257"/>
      <c r="J20" s="1258"/>
      <c r="K20" s="1258"/>
      <c r="L20" s="1258"/>
      <c r="M20" s="1234"/>
    </row>
    <row r="21" spans="1:13" ht="27.75" customHeight="1">
      <c r="A21" s="1234"/>
      <c r="B21" s="1252"/>
      <c r="C21" s="1254"/>
      <c r="D21" s="1762" t="s">
        <v>697</v>
      </c>
      <c r="E21" s="1762"/>
      <c r="F21" s="1763"/>
      <c r="G21" s="1255">
        <v>-0.3</v>
      </c>
      <c r="H21" s="1256">
        <v>0</v>
      </c>
      <c r="I21" s="1257"/>
      <c r="J21" s="1258"/>
      <c r="K21" s="1258"/>
      <c r="L21" s="1258"/>
      <c r="M21" s="1234"/>
    </row>
    <row r="22" spans="1:13" ht="26.25" customHeight="1">
      <c r="A22" s="1234"/>
      <c r="B22" s="1252"/>
      <c r="C22" s="1254"/>
      <c r="D22" s="1764" t="s">
        <v>698</v>
      </c>
      <c r="E22" s="1764"/>
      <c r="F22" s="1765"/>
      <c r="G22" s="1255">
        <v>28.7</v>
      </c>
      <c r="H22" s="1256">
        <v>0</v>
      </c>
      <c r="I22" s="1257"/>
      <c r="J22" s="1258"/>
      <c r="K22" s="1258"/>
      <c r="L22" s="1258"/>
      <c r="M22" s="1234"/>
    </row>
    <row r="23" spans="1:13">
      <c r="A23" s="1234"/>
      <c r="B23" s="1252"/>
      <c r="C23" s="1254"/>
      <c r="D23" s="1263" t="s">
        <v>699</v>
      </c>
      <c r="E23" s="1254"/>
      <c r="F23" s="1054"/>
      <c r="G23" s="1260">
        <v>22.1</v>
      </c>
      <c r="H23" s="1256">
        <v>50.5</v>
      </c>
      <c r="I23" s="1257"/>
      <c r="J23" s="1258"/>
      <c r="K23" s="1258"/>
      <c r="L23" s="1258"/>
      <c r="M23" s="1234"/>
    </row>
    <row r="24" spans="1:13" ht="13.5" thickBot="1">
      <c r="A24" s="1234"/>
      <c r="B24" s="1252"/>
      <c r="C24" s="1254"/>
      <c r="D24" s="1253"/>
      <c r="E24" s="1249"/>
      <c r="F24" s="1054"/>
      <c r="G24" s="1261"/>
      <c r="H24" s="1262">
        <v>0</v>
      </c>
      <c r="I24" s="1257"/>
      <c r="J24" s="1258"/>
      <c r="K24" s="1258"/>
      <c r="L24" s="1258"/>
      <c r="M24" s="1234"/>
    </row>
    <row r="25" spans="1:13" ht="13.5" thickBot="1">
      <c r="A25" s="1234"/>
      <c r="B25" s="1264"/>
      <c r="C25" s="1766" t="s">
        <v>700</v>
      </c>
      <c r="D25" s="1766"/>
      <c r="E25" s="1766"/>
      <c r="F25" s="1767"/>
      <c r="G25" s="1265"/>
      <c r="H25" s="1266">
        <v>70.900000000000006</v>
      </c>
      <c r="I25" s="1257"/>
      <c r="J25" s="1258"/>
      <c r="K25" s="1258"/>
      <c r="L25" s="1258"/>
      <c r="M25" s="1234"/>
    </row>
    <row r="26" spans="1:13" ht="13.5" thickBot="1">
      <c r="A26" s="1234"/>
      <c r="B26" s="1267"/>
      <c r="C26" s="1268"/>
      <c r="D26" s="1268"/>
      <c r="E26" s="1268"/>
      <c r="F26" s="1269"/>
      <c r="G26" s="1270"/>
      <c r="H26" s="1270"/>
      <c r="I26" s="1271"/>
      <c r="J26" s="1258"/>
      <c r="K26" s="1258"/>
      <c r="L26" s="1258"/>
      <c r="M26" s="1234"/>
    </row>
    <row r="27" spans="1:13" ht="13.5" thickBot="1">
      <c r="A27" s="1234"/>
      <c r="B27" s="1236"/>
      <c r="C27" s="1242"/>
      <c r="D27" s="1234"/>
      <c r="E27" s="1272"/>
      <c r="F27" s="1236"/>
      <c r="G27" s="1258"/>
      <c r="H27" s="1258"/>
      <c r="I27" s="1258"/>
      <c r="J27" s="1258"/>
      <c r="K27" s="1258"/>
      <c r="L27" s="1258"/>
      <c r="M27" s="1234"/>
    </row>
    <row r="28" spans="1:13">
      <c r="A28" s="1234"/>
      <c r="B28" s="1239"/>
      <c r="C28" s="1273" t="s">
        <v>701</v>
      </c>
      <c r="D28" s="1242"/>
      <c r="E28" s="1242"/>
      <c r="F28" s="1274"/>
      <c r="G28" s="1275"/>
      <c r="H28" s="1276"/>
      <c r="I28" s="1276"/>
      <c r="J28" s="1276"/>
      <c r="K28" s="1276"/>
      <c r="L28" s="1276"/>
      <c r="M28" s="1244"/>
    </row>
    <row r="29" spans="1:13" ht="13.5" thickBot="1">
      <c r="A29" s="1234"/>
      <c r="B29" s="1245"/>
      <c r="C29" s="1234"/>
      <c r="D29" s="1240" t="s">
        <v>702</v>
      </c>
      <c r="E29" s="1240"/>
      <c r="F29" s="1235"/>
      <c r="G29" s="1277"/>
      <c r="H29" s="1277"/>
      <c r="I29" s="1258"/>
      <c r="J29" s="1258"/>
      <c r="K29" s="1258"/>
      <c r="L29" s="1258"/>
      <c r="M29" s="1247"/>
    </row>
    <row r="30" spans="1:13" ht="13.5" thickBot="1">
      <c r="A30" s="1234"/>
      <c r="B30" s="1278"/>
      <c r="C30" s="1234"/>
      <c r="D30" s="1254" t="s">
        <v>703</v>
      </c>
      <c r="F30" s="1054"/>
      <c r="G30" s="1279" t="s">
        <v>591</v>
      </c>
      <c r="H30" s="1280"/>
      <c r="I30" s="1258"/>
      <c r="J30" s="1258"/>
      <c r="K30" s="1258"/>
      <c r="L30" s="1258"/>
      <c r="M30" s="1247"/>
    </row>
    <row r="31" spans="1:13">
      <c r="A31" s="1234"/>
      <c r="B31" s="1278"/>
      <c r="C31" s="1234"/>
      <c r="D31" s="1259" t="s">
        <v>704</v>
      </c>
      <c r="F31" s="1234"/>
      <c r="G31" s="1255">
        <v>0</v>
      </c>
      <c r="H31" s="1280"/>
      <c r="I31" s="1258"/>
      <c r="J31" s="1258"/>
      <c r="K31" s="1258"/>
      <c r="L31" s="1258"/>
      <c r="M31" s="1247"/>
    </row>
    <row r="32" spans="1:13" ht="14.25">
      <c r="A32" s="1234"/>
      <c r="B32" s="1278"/>
      <c r="C32" s="1234"/>
      <c r="D32" s="1259" t="s">
        <v>705</v>
      </c>
      <c r="F32" s="1234"/>
      <c r="G32" s="1281">
        <v>-0.1</v>
      </c>
      <c r="H32" s="1280"/>
      <c r="I32" s="1258"/>
      <c r="J32" s="1258"/>
      <c r="K32" s="1258"/>
      <c r="L32" s="1258"/>
      <c r="M32" s="1247"/>
    </row>
    <row r="33" spans="1:13" ht="14.25">
      <c r="A33" s="1235"/>
      <c r="B33" s="1282"/>
      <c r="C33" s="1235"/>
      <c r="D33" s="1259" t="s">
        <v>706</v>
      </c>
      <c r="F33" s="1235"/>
      <c r="G33" s="1281">
        <v>-0.19999999999999998</v>
      </c>
      <c r="H33" s="1280"/>
      <c r="I33" s="1277"/>
      <c r="J33" s="1277"/>
      <c r="K33" s="1277"/>
      <c r="L33" s="1277"/>
      <c r="M33" s="1283"/>
    </row>
    <row r="34" spans="1:13" ht="15.75" thickBot="1">
      <c r="A34" s="1235"/>
      <c r="B34" s="1282"/>
      <c r="C34" s="1235"/>
      <c r="D34" s="1054"/>
      <c r="E34" s="1284" t="s">
        <v>220</v>
      </c>
      <c r="F34" s="1054"/>
      <c r="G34" s="1285">
        <v>-0.3</v>
      </c>
      <c r="H34" s="1280"/>
      <c r="I34" s="1277"/>
      <c r="J34" s="1277"/>
      <c r="K34" s="1277"/>
      <c r="L34" s="1277"/>
      <c r="M34" s="1283"/>
    </row>
    <row r="35" spans="1:13" ht="14.25" thickTop="1" thickBot="1">
      <c r="A35" s="1235"/>
      <c r="B35" s="1282"/>
      <c r="C35" s="1238"/>
      <c r="D35" s="1054"/>
      <c r="E35" s="1054"/>
      <c r="F35" s="1054"/>
      <c r="G35" s="1280"/>
      <c r="H35" s="1280"/>
      <c r="I35" s="1277"/>
      <c r="J35" s="1277"/>
      <c r="K35" s="1277"/>
      <c r="L35" s="1277"/>
      <c r="M35" s="1283"/>
    </row>
    <row r="36" spans="1:13" ht="38.25">
      <c r="A36" s="1235"/>
      <c r="B36" s="1264"/>
      <c r="C36" s="1054"/>
      <c r="D36" s="1054"/>
      <c r="E36" s="1768" t="s">
        <v>707</v>
      </c>
      <c r="F36" s="1769"/>
      <c r="G36" s="1286" t="s">
        <v>708</v>
      </c>
      <c r="H36" s="1286" t="s">
        <v>709</v>
      </c>
      <c r="I36" s="1286" t="s">
        <v>710</v>
      </c>
      <c r="J36" s="1286" t="s">
        <v>711</v>
      </c>
      <c r="K36" s="1287" t="s">
        <v>712</v>
      </c>
      <c r="L36" s="1770" t="s">
        <v>713</v>
      </c>
      <c r="M36" s="1283"/>
    </row>
    <row r="37" spans="1:13">
      <c r="A37" s="1235"/>
      <c r="B37" s="1264"/>
      <c r="C37" s="1054"/>
      <c r="D37" s="1054"/>
      <c r="E37" s="1772" t="s">
        <v>714</v>
      </c>
      <c r="F37" s="1773"/>
      <c r="G37" s="1288" t="s">
        <v>223</v>
      </c>
      <c r="H37" s="1288" t="s">
        <v>223</v>
      </c>
      <c r="I37" s="1288" t="s">
        <v>223</v>
      </c>
      <c r="J37" s="1288" t="s">
        <v>223</v>
      </c>
      <c r="K37" s="1289" t="s">
        <v>223</v>
      </c>
      <c r="L37" s="1771"/>
      <c r="M37" s="1283"/>
    </row>
    <row r="38" spans="1:13" ht="14.25">
      <c r="A38" s="1235"/>
      <c r="B38" s="1264"/>
      <c r="C38" s="1054"/>
      <c r="D38" s="1054"/>
      <c r="E38" s="1290" t="s">
        <v>1073</v>
      </c>
      <c r="F38" s="1291"/>
      <c r="G38" s="1292">
        <v>0</v>
      </c>
      <c r="H38" s="1292">
        <v>0</v>
      </c>
      <c r="I38" s="1293">
        <v>0</v>
      </c>
      <c r="J38" s="1292">
        <v>0.1</v>
      </c>
      <c r="K38" s="1294">
        <v>-0.1</v>
      </c>
      <c r="L38" s="1295" t="s">
        <v>1074</v>
      </c>
      <c r="M38" s="1283"/>
    </row>
    <row r="39" spans="1:13" ht="14.25">
      <c r="A39" s="1235"/>
      <c r="B39" s="1264"/>
      <c r="C39" s="1054"/>
      <c r="D39" s="1054"/>
      <c r="E39" s="1290" t="s">
        <v>1075</v>
      </c>
      <c r="F39" s="1291"/>
      <c r="G39" s="1292">
        <v>0</v>
      </c>
      <c r="H39" s="1292">
        <v>0</v>
      </c>
      <c r="I39" s="1293">
        <v>0</v>
      </c>
      <c r="J39" s="1292">
        <v>0.1</v>
      </c>
      <c r="K39" s="1294">
        <v>-0.1</v>
      </c>
      <c r="L39" s="1296" t="s">
        <v>1076</v>
      </c>
      <c r="M39" s="1283"/>
    </row>
    <row r="40" spans="1:13" ht="14.25">
      <c r="A40" s="1235"/>
      <c r="B40" s="1264"/>
      <c r="C40" s="1054"/>
      <c r="D40" s="1054"/>
      <c r="E40" s="1290" t="s">
        <v>1077</v>
      </c>
      <c r="F40" s="1291"/>
      <c r="G40" s="1292">
        <v>0.8</v>
      </c>
      <c r="H40" s="1292">
        <v>0.8</v>
      </c>
      <c r="I40" s="1293">
        <v>0</v>
      </c>
      <c r="J40" s="1292">
        <v>0.1</v>
      </c>
      <c r="K40" s="1294">
        <v>-0.1</v>
      </c>
      <c r="L40" s="1296" t="s">
        <v>1078</v>
      </c>
      <c r="M40" s="1283"/>
    </row>
    <row r="41" spans="1:13" ht="14.25">
      <c r="A41" s="1235"/>
      <c r="B41" s="1264"/>
      <c r="C41" s="1054"/>
      <c r="D41" s="1054"/>
      <c r="E41" s="1290">
        <v>0</v>
      </c>
      <c r="F41" s="1291"/>
      <c r="G41" s="1292">
        <v>0</v>
      </c>
      <c r="H41" s="1292">
        <v>0</v>
      </c>
      <c r="I41" s="1293">
        <v>0</v>
      </c>
      <c r="J41" s="1292">
        <v>0</v>
      </c>
      <c r="K41" s="1294">
        <v>0</v>
      </c>
      <c r="L41" s="1296">
        <v>0</v>
      </c>
      <c r="M41" s="1283"/>
    </row>
    <row r="42" spans="1:13" ht="14.25">
      <c r="A42" s="1235"/>
      <c r="B42" s="1264"/>
      <c r="C42" s="1054"/>
      <c r="D42" s="1054"/>
      <c r="E42" s="1290">
        <v>0</v>
      </c>
      <c r="F42" s="1291"/>
      <c r="G42" s="1297">
        <v>0</v>
      </c>
      <c r="H42" s="1297">
        <v>0</v>
      </c>
      <c r="I42" s="1298">
        <v>0</v>
      </c>
      <c r="J42" s="1297">
        <v>0</v>
      </c>
      <c r="K42" s="1299">
        <v>0</v>
      </c>
      <c r="L42" s="1296">
        <v>0</v>
      </c>
      <c r="M42" s="1283"/>
    </row>
    <row r="43" spans="1:13" ht="14.25">
      <c r="A43" s="1235"/>
      <c r="B43" s="1264"/>
      <c r="C43" s="1054"/>
      <c r="D43" s="1054"/>
      <c r="E43" s="1290">
        <v>0</v>
      </c>
      <c r="F43" s="1291"/>
      <c r="G43" s="1297">
        <v>0</v>
      </c>
      <c r="H43" s="1297">
        <v>0</v>
      </c>
      <c r="I43" s="1298">
        <v>0</v>
      </c>
      <c r="J43" s="1297">
        <v>0</v>
      </c>
      <c r="K43" s="1299">
        <v>0</v>
      </c>
      <c r="L43" s="1296">
        <v>0</v>
      </c>
      <c r="M43" s="1283"/>
    </row>
    <row r="44" spans="1:13" ht="14.25">
      <c r="A44" s="1235"/>
      <c r="B44" s="1264"/>
      <c r="C44" s="1054"/>
      <c r="D44" s="1054"/>
      <c r="E44" s="1290">
        <v>0</v>
      </c>
      <c r="F44" s="1291"/>
      <c r="G44" s="1297">
        <v>0</v>
      </c>
      <c r="H44" s="1297">
        <v>0</v>
      </c>
      <c r="I44" s="1298">
        <v>0</v>
      </c>
      <c r="J44" s="1297">
        <v>0</v>
      </c>
      <c r="K44" s="1299">
        <v>0</v>
      </c>
      <c r="L44" s="1296">
        <v>0</v>
      </c>
      <c r="M44" s="1283"/>
    </row>
    <row r="45" spans="1:13" ht="14.25">
      <c r="A45" s="1235"/>
      <c r="B45" s="1264"/>
      <c r="C45" s="1054"/>
      <c r="D45" s="1054"/>
      <c r="E45" s="1290">
        <v>0</v>
      </c>
      <c r="F45" s="1291"/>
      <c r="G45" s="1297">
        <v>0</v>
      </c>
      <c r="H45" s="1297">
        <v>0</v>
      </c>
      <c r="I45" s="1298">
        <v>0</v>
      </c>
      <c r="J45" s="1297">
        <v>0</v>
      </c>
      <c r="K45" s="1299">
        <v>0</v>
      </c>
      <c r="L45" s="1296">
        <v>0</v>
      </c>
      <c r="M45" s="1283"/>
    </row>
    <row r="46" spans="1:13" ht="14.25">
      <c r="A46" s="1235"/>
      <c r="B46" s="1264"/>
      <c r="C46" s="1054"/>
      <c r="D46" s="1054"/>
      <c r="E46" s="1290">
        <v>0</v>
      </c>
      <c r="F46" s="1291"/>
      <c r="G46" s="1297">
        <v>0</v>
      </c>
      <c r="H46" s="1297">
        <v>0</v>
      </c>
      <c r="I46" s="1298">
        <v>0</v>
      </c>
      <c r="J46" s="1297">
        <v>0</v>
      </c>
      <c r="K46" s="1299">
        <v>0</v>
      </c>
      <c r="L46" s="1296">
        <v>0</v>
      </c>
      <c r="M46" s="1283"/>
    </row>
    <row r="47" spans="1:13" ht="14.25">
      <c r="A47" s="1235"/>
      <c r="B47" s="1264"/>
      <c r="C47" s="1054"/>
      <c r="D47" s="1054"/>
      <c r="E47" s="1290">
        <v>0</v>
      </c>
      <c r="F47" s="1291"/>
      <c r="G47" s="1297">
        <v>0</v>
      </c>
      <c r="H47" s="1297">
        <v>0</v>
      </c>
      <c r="I47" s="1298">
        <v>0</v>
      </c>
      <c r="J47" s="1297">
        <v>0</v>
      </c>
      <c r="K47" s="1299">
        <v>0</v>
      </c>
      <c r="L47" s="1296">
        <v>0</v>
      </c>
      <c r="M47" s="1283"/>
    </row>
    <row r="48" spans="1:13" ht="14.25">
      <c r="A48" s="1235"/>
      <c r="B48" s="1264"/>
      <c r="C48" s="1054"/>
      <c r="D48" s="1054"/>
      <c r="E48" s="1290">
        <v>0</v>
      </c>
      <c r="F48" s="1291"/>
      <c r="G48" s="1297">
        <v>0</v>
      </c>
      <c r="H48" s="1297">
        <v>0</v>
      </c>
      <c r="I48" s="1298">
        <v>0</v>
      </c>
      <c r="J48" s="1297">
        <v>0</v>
      </c>
      <c r="K48" s="1299">
        <v>0</v>
      </c>
      <c r="L48" s="1296">
        <v>0</v>
      </c>
      <c r="M48" s="1283"/>
    </row>
    <row r="49" spans="1:13" ht="14.25">
      <c r="A49" s="1235"/>
      <c r="B49" s="1264"/>
      <c r="C49" s="1054"/>
      <c r="D49" s="1054"/>
      <c r="E49" s="1290">
        <v>0</v>
      </c>
      <c r="F49" s="1291"/>
      <c r="G49" s="1297">
        <v>0</v>
      </c>
      <c r="H49" s="1297">
        <v>0</v>
      </c>
      <c r="I49" s="1298">
        <v>0</v>
      </c>
      <c r="J49" s="1297">
        <v>0</v>
      </c>
      <c r="K49" s="1299">
        <v>0</v>
      </c>
      <c r="L49" s="1296">
        <v>0</v>
      </c>
      <c r="M49" s="1283"/>
    </row>
    <row r="50" spans="1:13" ht="15" thickBot="1">
      <c r="A50" s="1235"/>
      <c r="B50" s="1264"/>
      <c r="C50" s="1054"/>
      <c r="D50" s="1054"/>
      <c r="E50" s="1290">
        <v>0</v>
      </c>
      <c r="F50" s="1291"/>
      <c r="G50" s="1297">
        <v>0</v>
      </c>
      <c r="H50" s="1297">
        <v>0</v>
      </c>
      <c r="I50" s="1298">
        <v>0</v>
      </c>
      <c r="J50" s="1297">
        <v>0</v>
      </c>
      <c r="K50" s="1299">
        <v>0</v>
      </c>
      <c r="L50" s="1300">
        <v>0</v>
      </c>
      <c r="M50" s="1283"/>
    </row>
    <row r="51" spans="1:13" ht="13.5" thickBot="1">
      <c r="A51" s="1235"/>
      <c r="B51" s="1264"/>
      <c r="C51" s="1054"/>
      <c r="D51" s="1054"/>
      <c r="E51" s="1301" t="s">
        <v>220</v>
      </c>
      <c r="F51" s="1301"/>
      <c r="G51" s="1301">
        <v>0.8</v>
      </c>
      <c r="H51" s="1301">
        <v>0.8</v>
      </c>
      <c r="I51" s="1301">
        <v>0</v>
      </c>
      <c r="J51" s="1301">
        <v>0.30000000000000004</v>
      </c>
      <c r="K51" s="1301">
        <v>-0.30000000000000004</v>
      </c>
      <c r="L51" s="1235"/>
      <c r="M51" s="1283"/>
    </row>
    <row r="52" spans="1:13">
      <c r="A52" s="1235"/>
      <c r="B52" s="1264"/>
      <c r="C52" s="1054"/>
      <c r="D52" s="1054"/>
      <c r="E52" s="1054"/>
      <c r="F52" s="1054"/>
      <c r="G52" s="1235"/>
      <c r="H52" s="1235"/>
      <c r="I52" s="1235"/>
      <c r="J52" s="1302" t="s">
        <v>715</v>
      </c>
      <c r="K52" s="1302" t="s">
        <v>715</v>
      </c>
      <c r="L52" s="1235"/>
      <c r="M52" s="1283"/>
    </row>
    <row r="53" spans="1:13" ht="13.5" thickBot="1">
      <c r="A53" s="1235"/>
      <c r="B53" s="1264"/>
      <c r="C53" s="1054"/>
      <c r="D53" s="1054"/>
      <c r="E53" s="1054"/>
      <c r="F53" s="1054"/>
      <c r="G53" s="1235"/>
      <c r="H53" s="1235"/>
      <c r="I53" s="1235"/>
      <c r="J53" s="1235"/>
      <c r="K53" s="1235"/>
      <c r="L53" s="1235"/>
      <c r="M53" s="1283"/>
    </row>
    <row r="54" spans="1:13" ht="13.5" thickBot="1">
      <c r="A54" s="1235"/>
      <c r="B54" s="1264"/>
      <c r="C54" s="1240" t="s">
        <v>716</v>
      </c>
      <c r="E54" s="1303"/>
      <c r="F54" s="1235"/>
      <c r="G54" s="1279" t="s">
        <v>223</v>
      </c>
      <c r="H54" s="1279" t="s">
        <v>223</v>
      </c>
      <c r="I54" s="1235"/>
      <c r="J54" s="1277"/>
      <c r="K54" s="1277"/>
      <c r="L54" s="1277"/>
      <c r="M54" s="1304"/>
    </row>
    <row r="55" spans="1:13" ht="26.25" thickBot="1">
      <c r="A55" s="1235"/>
      <c r="B55" s="1264"/>
      <c r="C55" s="1054"/>
      <c r="D55" s="1235"/>
      <c r="E55" s="1235"/>
      <c r="F55" s="1235"/>
      <c r="G55" s="1305"/>
      <c r="H55" s="1306" t="s">
        <v>717</v>
      </c>
      <c r="I55" s="1235"/>
      <c r="J55" s="1277"/>
      <c r="K55" s="1277"/>
      <c r="L55" s="1277"/>
      <c r="M55" s="1304"/>
    </row>
    <row r="56" spans="1:13">
      <c r="A56" s="1235"/>
      <c r="B56" s="1264"/>
      <c r="D56" s="1303" t="s">
        <v>718</v>
      </c>
      <c r="F56" s="1235"/>
      <c r="G56" s="1255">
        <v>0.3</v>
      </c>
      <c r="H56" s="1307">
        <v>0</v>
      </c>
      <c r="I56" s="1235"/>
      <c r="J56" s="1277"/>
      <c r="K56" s="1277"/>
      <c r="L56" s="1277"/>
      <c r="M56" s="1304"/>
    </row>
    <row r="57" spans="1:13" ht="13.5" thickBot="1">
      <c r="A57" s="1235"/>
      <c r="B57" s="1264"/>
      <c r="D57" s="1303" t="s">
        <v>719</v>
      </c>
      <c r="F57" s="1235"/>
      <c r="G57" s="1255">
        <v>0</v>
      </c>
      <c r="H57" s="1308">
        <v>0</v>
      </c>
      <c r="I57" s="1235"/>
      <c r="J57" s="1277"/>
      <c r="K57" s="1277"/>
      <c r="L57" s="1277"/>
      <c r="M57" s="1304"/>
    </row>
    <row r="58" spans="1:13" ht="13.5" thickBot="1">
      <c r="A58" s="1235"/>
      <c r="B58" s="1264"/>
      <c r="C58" s="1054"/>
      <c r="E58" s="1284" t="s">
        <v>720</v>
      </c>
      <c r="F58" s="1235"/>
      <c r="G58" s="1309">
        <v>0.3</v>
      </c>
      <c r="H58" s="1277"/>
      <c r="I58" s="1235"/>
      <c r="J58" s="1277"/>
      <c r="K58" s="1277"/>
      <c r="L58" s="1277"/>
      <c r="M58" s="1304"/>
    </row>
    <row r="59" spans="1:13" ht="14.25" thickTop="1" thickBot="1">
      <c r="A59" s="1235"/>
      <c r="B59" s="1264"/>
      <c r="C59" s="1054"/>
      <c r="D59" s="1054"/>
      <c r="E59" s="1284"/>
      <c r="F59" s="1235"/>
      <c r="G59" s="1277"/>
      <c r="H59" s="1277"/>
      <c r="I59" s="1235"/>
      <c r="J59" s="1277"/>
      <c r="K59" s="1277"/>
      <c r="L59" s="1277"/>
      <c r="M59" s="1304"/>
    </row>
    <row r="60" spans="1:13" ht="73.5" customHeight="1" thickBot="1">
      <c r="A60" s="1235"/>
      <c r="B60" s="1264"/>
      <c r="C60" s="1761" t="s">
        <v>721</v>
      </c>
      <c r="D60" s="1761"/>
      <c r="E60" s="1761"/>
      <c r="F60" s="1235"/>
      <c r="G60" s="1310" t="s">
        <v>220</v>
      </c>
      <c r="H60" s="1311" t="s">
        <v>722</v>
      </c>
      <c r="I60" s="1311" t="s">
        <v>723</v>
      </c>
      <c r="J60" s="1311" t="s">
        <v>724</v>
      </c>
      <c r="K60" s="1311" t="s">
        <v>725</v>
      </c>
      <c r="L60" s="1277"/>
      <c r="M60" s="1283"/>
    </row>
    <row r="61" spans="1:13" ht="13.5" thickBot="1">
      <c r="A61" s="1235"/>
      <c r="B61" s="1282"/>
      <c r="C61" s="1238"/>
      <c r="D61" s="1240"/>
      <c r="E61" s="1132"/>
      <c r="F61" s="1054"/>
      <c r="G61" s="1279" t="s">
        <v>223</v>
      </c>
      <c r="H61" s="1279" t="s">
        <v>223</v>
      </c>
      <c r="I61" s="1279" t="s">
        <v>223</v>
      </c>
      <c r="J61" s="1279" t="s">
        <v>223</v>
      </c>
      <c r="K61" s="1279" t="s">
        <v>223</v>
      </c>
      <c r="L61" s="1277"/>
      <c r="M61" s="1283"/>
    </row>
    <row r="62" spans="1:13">
      <c r="A62" s="1235"/>
      <c r="B62" s="1282"/>
      <c r="D62" s="1764" t="s">
        <v>726</v>
      </c>
      <c r="E62" s="1764"/>
      <c r="F62" s="1765"/>
      <c r="G62" s="1312">
        <v>-0.2</v>
      </c>
      <c r="H62" s="1313">
        <v>0</v>
      </c>
      <c r="I62" s="1314">
        <v>0</v>
      </c>
      <c r="J62" s="1314">
        <v>-0.2</v>
      </c>
      <c r="K62" s="1315">
        <v>0</v>
      </c>
      <c r="L62" s="1277"/>
      <c r="M62" s="1283"/>
    </row>
    <row r="63" spans="1:13" ht="24.75" customHeight="1" thickBot="1">
      <c r="A63" s="1235"/>
      <c r="B63" s="1282"/>
      <c r="D63" s="1764" t="s">
        <v>727</v>
      </c>
      <c r="E63" s="1764"/>
      <c r="F63" s="1765"/>
      <c r="G63" s="1316">
        <v>0.2</v>
      </c>
      <c r="H63" s="1317">
        <v>0</v>
      </c>
      <c r="I63" s="1318">
        <v>0</v>
      </c>
      <c r="J63" s="1318">
        <v>0.2</v>
      </c>
      <c r="K63" s="1319">
        <v>0</v>
      </c>
      <c r="L63" s="1277"/>
      <c r="M63" s="1283"/>
    </row>
    <row r="64" spans="1:13" ht="13.5" thickBot="1">
      <c r="A64" s="1235"/>
      <c r="B64" s="1282"/>
      <c r="C64" s="1238"/>
      <c r="D64" s="1054"/>
      <c r="E64" s="1054"/>
      <c r="F64" s="1054"/>
      <c r="G64" s="1280"/>
      <c r="H64" s="1280"/>
      <c r="I64" s="1277"/>
      <c r="J64" s="1277"/>
      <c r="K64" s="1277"/>
      <c r="L64" s="1277"/>
      <c r="M64" s="1283"/>
    </row>
    <row r="65" spans="1:13" ht="90" thickBot="1">
      <c r="A65" s="1235"/>
      <c r="B65" s="1264"/>
      <c r="C65" s="1761" t="s">
        <v>728</v>
      </c>
      <c r="D65" s="1761"/>
      <c r="E65" s="1761"/>
      <c r="F65" s="1235"/>
      <c r="G65" s="1320" t="s">
        <v>220</v>
      </c>
      <c r="H65" s="1321" t="s">
        <v>633</v>
      </c>
      <c r="I65" s="1321" t="s">
        <v>729</v>
      </c>
      <c r="J65" s="1321" t="s">
        <v>573</v>
      </c>
      <c r="K65" s="1321" t="s">
        <v>730</v>
      </c>
      <c r="L65" s="1321" t="s">
        <v>575</v>
      </c>
      <c r="M65" s="1283"/>
    </row>
    <row r="66" spans="1:13" ht="13.5" thickBot="1">
      <c r="A66" s="1235"/>
      <c r="B66" s="1264"/>
      <c r="C66" s="1054"/>
      <c r="D66" s="1303"/>
      <c r="E66" s="1235"/>
      <c r="F66" s="1235"/>
      <c r="G66" s="1279" t="s">
        <v>223</v>
      </c>
      <c r="H66" s="1279" t="s">
        <v>223</v>
      </c>
      <c r="I66" s="1279" t="s">
        <v>223</v>
      </c>
      <c r="J66" s="1279" t="s">
        <v>223</v>
      </c>
      <c r="K66" s="1279" t="s">
        <v>223</v>
      </c>
      <c r="L66" s="1279" t="s">
        <v>223</v>
      </c>
      <c r="M66" s="1283"/>
    </row>
    <row r="67" spans="1:13" ht="14.25">
      <c r="A67" s="1235"/>
      <c r="B67" s="1264"/>
      <c r="D67" s="1263" t="s">
        <v>731</v>
      </c>
      <c r="F67" s="1235"/>
      <c r="G67" s="1322">
        <v>0.1</v>
      </c>
      <c r="H67" s="1323">
        <v>0.1</v>
      </c>
      <c r="I67" s="1324">
        <v>0</v>
      </c>
      <c r="J67" s="1324">
        <v>0</v>
      </c>
      <c r="K67" s="1325">
        <v>0</v>
      </c>
      <c r="L67" s="1326">
        <v>0</v>
      </c>
      <c r="M67" s="1283"/>
    </row>
    <row r="68" spans="1:13">
      <c r="A68" s="1235"/>
      <c r="B68" s="1264"/>
      <c r="D68" s="1303" t="s">
        <v>732</v>
      </c>
      <c r="F68" s="1235"/>
      <c r="G68" s="1327">
        <v>0</v>
      </c>
      <c r="H68" s="1328">
        <v>0</v>
      </c>
      <c r="I68" s="1329">
        <v>0</v>
      </c>
      <c r="J68" s="1329">
        <v>0</v>
      </c>
      <c r="K68" s="1325">
        <v>0</v>
      </c>
      <c r="L68" s="1326">
        <v>0</v>
      </c>
      <c r="M68" s="1283"/>
    </row>
    <row r="69" spans="1:13">
      <c r="A69" s="1235"/>
      <c r="B69" s="1264"/>
      <c r="D69" s="1303" t="s">
        <v>733</v>
      </c>
      <c r="F69" s="1235"/>
      <c r="G69" s="1327">
        <v>0</v>
      </c>
      <c r="H69" s="1328">
        <v>0</v>
      </c>
      <c r="I69" s="1329">
        <v>0</v>
      </c>
      <c r="J69" s="1329">
        <v>0</v>
      </c>
      <c r="K69" s="1325">
        <v>0</v>
      </c>
      <c r="L69" s="1326">
        <v>0</v>
      </c>
      <c r="M69" s="1283"/>
    </row>
    <row r="70" spans="1:13">
      <c r="A70" s="1235"/>
      <c r="B70" s="1264"/>
      <c r="D70" s="1303" t="s">
        <v>734</v>
      </c>
      <c r="F70" s="1235"/>
      <c r="G70" s="1327">
        <v>0</v>
      </c>
      <c r="H70" s="1330">
        <v>0</v>
      </c>
      <c r="I70" s="1331">
        <v>0</v>
      </c>
      <c r="J70" s="1331">
        <v>0</v>
      </c>
      <c r="K70" s="1332">
        <v>0</v>
      </c>
      <c r="L70" s="1333">
        <v>0</v>
      </c>
      <c r="M70" s="1283"/>
    </row>
    <row r="71" spans="1:13" ht="13.5" thickBot="1">
      <c r="A71" s="1235"/>
      <c r="B71" s="1264"/>
      <c r="C71" s="1054"/>
      <c r="D71" s="1054"/>
      <c r="E71" s="1284" t="s">
        <v>735</v>
      </c>
      <c r="F71" s="1235"/>
      <c r="G71" s="1301">
        <v>0.1</v>
      </c>
      <c r="H71" s="1301">
        <v>0.1</v>
      </c>
      <c r="I71" s="1301">
        <v>0</v>
      </c>
      <c r="J71" s="1301">
        <v>0</v>
      </c>
      <c r="K71" s="1301">
        <v>0</v>
      </c>
      <c r="L71" s="1301">
        <v>0</v>
      </c>
      <c r="M71" s="1283"/>
    </row>
    <row r="72" spans="1:13" ht="13.5" thickBot="1">
      <c r="A72" s="1235"/>
      <c r="B72" s="1334"/>
      <c r="C72" s="1335"/>
      <c r="D72" s="1335"/>
      <c r="E72" s="1336"/>
      <c r="F72" s="1337"/>
      <c r="G72" s="1336"/>
      <c r="H72" s="1338"/>
      <c r="I72" s="1339"/>
      <c r="J72" s="1339"/>
      <c r="K72" s="1339"/>
      <c r="L72" s="1339"/>
      <c r="M72" s="1340"/>
    </row>
    <row r="73" spans="1:13" ht="13.5" thickBot="1">
      <c r="A73" s="1235"/>
      <c r="B73" s="1235"/>
      <c r="C73" s="1337"/>
      <c r="D73" s="1235"/>
      <c r="E73" s="1235"/>
      <c r="F73" s="1235"/>
      <c r="G73" s="1277"/>
      <c r="H73" s="1277"/>
      <c r="I73" s="1277"/>
      <c r="J73" s="1277"/>
      <c r="K73" s="1277"/>
      <c r="L73" s="1277"/>
      <c r="M73" s="1235"/>
    </row>
    <row r="74" spans="1:13">
      <c r="A74" s="1235"/>
      <c r="B74" s="1239"/>
      <c r="C74" s="1240" t="s">
        <v>736</v>
      </c>
      <c r="D74" s="1242"/>
      <c r="E74" s="1341"/>
      <c r="F74" s="1242"/>
      <c r="G74" s="1276"/>
      <c r="H74" s="1276"/>
      <c r="I74" s="1275"/>
      <c r="J74" s="1275"/>
      <c r="K74" s="1275"/>
      <c r="L74" s="1275"/>
      <c r="M74" s="1342"/>
    </row>
    <row r="75" spans="1:13" ht="13.5" thickBot="1">
      <c r="A75" s="1235"/>
      <c r="B75" s="1245"/>
      <c r="C75" s="1343"/>
      <c r="D75" s="1234"/>
      <c r="E75" s="1253"/>
      <c r="F75" s="1234"/>
      <c r="G75" s="1258"/>
      <c r="H75" s="1258"/>
      <c r="I75" s="1277"/>
      <c r="J75" s="1277"/>
      <c r="K75" s="1277"/>
      <c r="L75" s="1277"/>
      <c r="M75" s="1283"/>
    </row>
    <row r="76" spans="1:13" ht="90" customHeight="1" thickBot="1">
      <c r="A76" s="1235"/>
      <c r="B76" s="1264"/>
      <c r="C76" s="1761" t="s">
        <v>737</v>
      </c>
      <c r="D76" s="1761"/>
      <c r="E76" s="1761"/>
      <c r="F76" s="1774"/>
      <c r="G76" s="1320" t="s">
        <v>220</v>
      </c>
      <c r="H76" s="1321" t="s">
        <v>633</v>
      </c>
      <c r="I76" s="1321" t="s">
        <v>729</v>
      </c>
      <c r="J76" s="1321" t="s">
        <v>573</v>
      </c>
      <c r="K76" s="1321" t="s">
        <v>730</v>
      </c>
      <c r="L76" s="1321" t="s">
        <v>575</v>
      </c>
      <c r="M76" s="1283"/>
    </row>
    <row r="77" spans="1:13" ht="13.5" thickBot="1">
      <c r="A77" s="1235"/>
      <c r="B77" s="1264"/>
      <c r="C77" s="1054"/>
      <c r="D77" s="1303"/>
      <c r="E77" s="1235"/>
      <c r="F77" s="1235"/>
      <c r="G77" s="1279" t="s">
        <v>223</v>
      </c>
      <c r="H77" s="1279" t="s">
        <v>223</v>
      </c>
      <c r="I77" s="1279" t="s">
        <v>223</v>
      </c>
      <c r="J77" s="1279" t="s">
        <v>223</v>
      </c>
      <c r="K77" s="1279" t="s">
        <v>223</v>
      </c>
      <c r="L77" s="1279" t="s">
        <v>223</v>
      </c>
      <c r="M77" s="1283"/>
    </row>
    <row r="78" spans="1:13">
      <c r="A78" s="1235"/>
      <c r="B78" s="1264"/>
      <c r="C78" s="1054"/>
      <c r="D78" s="1054" t="s">
        <v>732</v>
      </c>
      <c r="E78" s="1054"/>
      <c r="G78" s="1344">
        <v>0</v>
      </c>
      <c r="H78" s="1345">
        <v>0</v>
      </c>
      <c r="I78" s="1346">
        <v>0</v>
      </c>
      <c r="J78" s="1346">
        <v>0</v>
      </c>
      <c r="K78" s="1347">
        <v>0</v>
      </c>
      <c r="L78" s="1348">
        <v>0</v>
      </c>
      <c r="M78" s="1283"/>
    </row>
    <row r="79" spans="1:13">
      <c r="A79" s="1235"/>
      <c r="B79" s="1264"/>
      <c r="C79" s="1054"/>
      <c r="D79" s="1054" t="s">
        <v>733</v>
      </c>
      <c r="E79" s="1054"/>
      <c r="G79" s="1344">
        <v>0</v>
      </c>
      <c r="H79" s="1345">
        <v>0</v>
      </c>
      <c r="I79" s="1346">
        <v>0</v>
      </c>
      <c r="J79" s="1346">
        <v>0</v>
      </c>
      <c r="K79" s="1347">
        <v>0</v>
      </c>
      <c r="L79" s="1348">
        <v>0</v>
      </c>
      <c r="M79" s="1283"/>
    </row>
    <row r="80" spans="1:13">
      <c r="A80" s="1235"/>
      <c r="B80" s="1264"/>
      <c r="C80" s="1054"/>
      <c r="D80" s="1054" t="s">
        <v>734</v>
      </c>
      <c r="E80" s="1054"/>
      <c r="G80" s="1344">
        <v>0</v>
      </c>
      <c r="H80" s="1349">
        <v>0</v>
      </c>
      <c r="I80" s="1350">
        <v>0</v>
      </c>
      <c r="J80" s="1350">
        <v>0</v>
      </c>
      <c r="K80" s="1351">
        <v>0</v>
      </c>
      <c r="L80" s="1352">
        <v>0</v>
      </c>
      <c r="M80" s="1283"/>
    </row>
    <row r="81" spans="1:13" ht="13.5" thickBot="1">
      <c r="A81" s="1235"/>
      <c r="B81" s="1264"/>
      <c r="C81" s="1054"/>
      <c r="D81" s="1054"/>
      <c r="F81" s="1353" t="s">
        <v>220</v>
      </c>
      <c r="G81" s="1354">
        <v>0</v>
      </c>
      <c r="H81" s="1354">
        <v>0</v>
      </c>
      <c r="I81" s="1354">
        <v>0</v>
      </c>
      <c r="J81" s="1354">
        <v>0</v>
      </c>
      <c r="K81" s="1354">
        <v>0</v>
      </c>
      <c r="L81" s="1354">
        <v>0</v>
      </c>
      <c r="M81" s="1283"/>
    </row>
    <row r="82" spans="1:13" ht="13.5" thickBot="1">
      <c r="A82" s="1235"/>
      <c r="B82" s="1264"/>
      <c r="C82" s="1054"/>
      <c r="D82" s="1054"/>
      <c r="E82" s="1303"/>
      <c r="F82" s="1235"/>
      <c r="G82" s="1355"/>
      <c r="H82" s="1355"/>
      <c r="I82" s="1277"/>
      <c r="J82" s="1277"/>
      <c r="K82" s="1277"/>
      <c r="L82" s="1277"/>
      <c r="M82" s="1283"/>
    </row>
    <row r="83" spans="1:13" ht="27" customHeight="1" thickBot="1">
      <c r="A83" s="1235"/>
      <c r="B83" s="1264"/>
      <c r="C83" s="1775" t="s">
        <v>738</v>
      </c>
      <c r="D83" s="1775"/>
      <c r="E83" s="1775"/>
      <c r="F83" s="1776"/>
      <c r="G83" s="1356">
        <v>0</v>
      </c>
      <c r="H83" s="1357">
        <v>0</v>
      </c>
      <c r="I83" s="1358">
        <v>0</v>
      </c>
      <c r="J83" s="1357">
        <v>0</v>
      </c>
      <c r="K83" s="1359">
        <v>0</v>
      </c>
      <c r="L83" s="1360">
        <v>0</v>
      </c>
      <c r="M83" s="1283"/>
    </row>
    <row r="84" spans="1:13" ht="13.5" thickBot="1">
      <c r="A84" s="1235"/>
      <c r="B84" s="1334"/>
      <c r="C84" s="1335"/>
      <c r="D84" s="1335"/>
      <c r="E84" s="1361"/>
      <c r="F84" s="1337"/>
      <c r="G84" s="1362"/>
      <c r="H84" s="1363"/>
      <c r="I84" s="1362"/>
      <c r="J84" s="1362"/>
      <c r="K84" s="1362"/>
      <c r="L84" s="1362"/>
      <c r="M84" s="1364"/>
    </row>
    <row r="85" spans="1:13" ht="13.5" thickBot="1">
      <c r="A85" s="1303"/>
      <c r="B85" s="1303"/>
      <c r="C85" s="1305"/>
      <c r="D85" s="1054"/>
      <c r="E85" s="1303"/>
      <c r="F85" s="1235"/>
      <c r="G85" s="1277"/>
      <c r="H85" s="1355"/>
      <c r="I85" s="1277"/>
      <c r="J85" s="1277"/>
      <c r="K85" s="1277"/>
      <c r="L85" s="1277"/>
      <c r="M85" s="1235"/>
    </row>
    <row r="86" spans="1:13" ht="13.5" thickBot="1">
      <c r="A86" s="1235"/>
      <c r="B86" s="1365"/>
      <c r="C86" s="1273" t="s">
        <v>739</v>
      </c>
      <c r="D86" s="1366"/>
      <c r="E86" s="1367"/>
      <c r="F86" s="1368"/>
      <c r="G86" s="1369"/>
      <c r="H86" s="1369"/>
      <c r="I86" s="1370"/>
      <c r="J86" s="1277"/>
      <c r="K86" s="1277"/>
      <c r="L86" s="1277"/>
      <c r="M86" s="1235"/>
    </row>
    <row r="87" spans="1:13" ht="13.5" thickBot="1">
      <c r="A87" s="1235"/>
      <c r="B87" s="1264"/>
      <c r="C87" s="1054"/>
      <c r="D87" s="1054"/>
      <c r="E87" s="1284"/>
      <c r="F87" s="1235"/>
      <c r="G87" s="1279" t="s">
        <v>223</v>
      </c>
      <c r="H87" s="1355"/>
      <c r="I87" s="1304"/>
      <c r="J87" s="1277"/>
      <c r="K87" s="1277"/>
      <c r="L87" s="1277"/>
      <c r="M87" s="1235"/>
    </row>
    <row r="88" spans="1:13" ht="29.25" customHeight="1" thickBot="1">
      <c r="A88" s="1235"/>
      <c r="B88" s="1264"/>
      <c r="C88" s="1761" t="s">
        <v>740</v>
      </c>
      <c r="D88" s="1761"/>
      <c r="E88" s="1761"/>
      <c r="F88" s="1774"/>
      <c r="G88" s="1371">
        <v>0.4</v>
      </c>
      <c r="H88" s="1277"/>
      <c r="I88" s="1304"/>
      <c r="J88" s="1277"/>
      <c r="K88" s="1277"/>
      <c r="L88" s="1277"/>
      <c r="M88" s="1235"/>
    </row>
    <row r="89" spans="1:13" ht="27" customHeight="1" thickBot="1">
      <c r="A89" s="1235"/>
      <c r="B89" s="1264"/>
      <c r="C89" s="1761" t="s">
        <v>741</v>
      </c>
      <c r="D89" s="1761"/>
      <c r="E89" s="1761"/>
      <c r="F89" s="1774"/>
      <c r="G89" s="1372">
        <v>0</v>
      </c>
      <c r="H89" s="1277"/>
      <c r="I89" s="1304"/>
      <c r="J89" s="1277"/>
      <c r="K89" s="1277"/>
      <c r="L89" s="1277"/>
      <c r="M89" s="1235"/>
    </row>
    <row r="90" spans="1:13" ht="13.5" thickBot="1">
      <c r="A90" s="1235"/>
      <c r="B90" s="1264"/>
      <c r="C90" s="1054"/>
      <c r="D90" s="1054"/>
      <c r="E90" s="1303"/>
      <c r="F90" s="1235"/>
      <c r="G90" s="1277"/>
      <c r="H90" s="1277"/>
      <c r="I90" s="1304"/>
      <c r="J90" s="1277"/>
      <c r="K90" s="1277"/>
      <c r="L90" s="1277"/>
      <c r="M90" s="1235"/>
    </row>
    <row r="91" spans="1:13" ht="13.5" thickBot="1">
      <c r="A91" s="1235"/>
      <c r="B91" s="1264"/>
      <c r="C91" s="1054"/>
      <c r="D91" s="1054"/>
      <c r="E91" s="1373"/>
      <c r="F91" s="1235"/>
      <c r="G91" s="1279" t="s">
        <v>223</v>
      </c>
      <c r="H91" s="1279" t="s">
        <v>541</v>
      </c>
      <c r="I91" s="1374"/>
      <c r="J91" s="1375"/>
      <c r="K91" s="1375"/>
      <c r="L91" s="1277"/>
      <c r="M91" s="1235"/>
    </row>
    <row r="92" spans="1:13" ht="13.5" thickBot="1">
      <c r="A92" s="1235"/>
      <c r="B92" s="1264"/>
      <c r="C92" s="1240" t="s">
        <v>742</v>
      </c>
      <c r="E92" s="1235"/>
      <c r="F92" s="1235"/>
      <c r="G92" s="1376">
        <v>0.7</v>
      </c>
      <c r="H92" s="1377">
        <v>1.1000000000000001</v>
      </c>
      <c r="I92" s="1378"/>
      <c r="J92" s="1379"/>
      <c r="K92" s="1379"/>
      <c r="L92" s="1277"/>
      <c r="M92" s="1235"/>
    </row>
    <row r="93" spans="1:13" ht="14.25" thickTop="1" thickBot="1">
      <c r="A93" s="1235"/>
      <c r="B93" s="1282"/>
      <c r="C93" s="1235"/>
      <c r="D93" s="1380"/>
      <c r="E93" s="1235"/>
      <c r="F93" s="1235"/>
      <c r="G93" s="1235"/>
      <c r="H93" s="1235"/>
      <c r="I93" s="1378"/>
      <c r="J93" s="1381"/>
      <c r="K93" s="1381"/>
      <c r="L93" s="1277"/>
      <c r="M93" s="1235"/>
    </row>
    <row r="94" spans="1:13" ht="27.75" customHeight="1" thickBot="1">
      <c r="A94" s="1235"/>
      <c r="B94" s="1264"/>
      <c r="C94" s="1761" t="s">
        <v>743</v>
      </c>
      <c r="D94" s="1761"/>
      <c r="E94" s="1761"/>
      <c r="F94" s="1774"/>
      <c r="G94" s="1279" t="s">
        <v>223</v>
      </c>
      <c r="H94" s="1279" t="s">
        <v>541</v>
      </c>
      <c r="I94" s="1382"/>
      <c r="J94" s="1381"/>
      <c r="K94" s="1381"/>
      <c r="L94" s="1277"/>
      <c r="M94" s="1235"/>
    </row>
    <row r="95" spans="1:13">
      <c r="A95" s="1235"/>
      <c r="B95" s="1264"/>
      <c r="C95" s="1054"/>
      <c r="D95" s="1303" t="s">
        <v>244</v>
      </c>
      <c r="F95" s="1235"/>
      <c r="G95" s="1255">
        <v>0.4</v>
      </c>
      <c r="H95" s="1255">
        <v>5</v>
      </c>
      <c r="I95" s="1378"/>
      <c r="J95" s="1379"/>
      <c r="K95" s="1379"/>
      <c r="L95" s="1277"/>
      <c r="M95" s="1235"/>
    </row>
    <row r="96" spans="1:13">
      <c r="A96" s="1235"/>
      <c r="B96" s="1264"/>
      <c r="C96" s="1054"/>
      <c r="D96" s="1303" t="s">
        <v>245</v>
      </c>
      <c r="F96" s="1235"/>
      <c r="G96" s="1255">
        <v>0</v>
      </c>
      <c r="H96" s="1255">
        <v>0</v>
      </c>
      <c r="I96" s="1378"/>
      <c r="J96" s="1379"/>
      <c r="K96" s="1379"/>
      <c r="L96" s="1277"/>
      <c r="M96" s="1235"/>
    </row>
    <row r="97" spans="1:13" ht="13.5" thickBot="1">
      <c r="A97" s="1235"/>
      <c r="B97" s="1264"/>
      <c r="C97" s="1054"/>
      <c r="D97" s="1303" t="s">
        <v>744</v>
      </c>
      <c r="F97" s="1235"/>
      <c r="G97" s="1255">
        <v>0</v>
      </c>
      <c r="H97" s="1308">
        <v>0</v>
      </c>
      <c r="I97" s="1378"/>
      <c r="J97" s="1379"/>
      <c r="K97" s="1379"/>
      <c r="L97" s="1277"/>
      <c r="M97" s="1235"/>
    </row>
    <row r="98" spans="1:13" ht="26.25" customHeight="1">
      <c r="A98" s="1235"/>
      <c r="B98" s="1264"/>
      <c r="C98" s="1054"/>
      <c r="D98" s="1777" t="s">
        <v>745</v>
      </c>
      <c r="E98" s="1777"/>
      <c r="F98" s="1778"/>
      <c r="G98" s="1260">
        <v>0.1</v>
      </c>
      <c r="H98" s="1383">
        <v>0</v>
      </c>
      <c r="I98" s="1378"/>
      <c r="J98" s="1379"/>
      <c r="K98" s="1381"/>
      <c r="L98" s="1277"/>
      <c r="M98" s="1235"/>
    </row>
    <row r="99" spans="1:13" ht="13.5" thickBot="1">
      <c r="A99" s="1235"/>
      <c r="B99" s="1264"/>
      <c r="C99" s="1766" t="s">
        <v>746</v>
      </c>
      <c r="D99" s="1766"/>
      <c r="E99" s="1766"/>
      <c r="F99" s="1767"/>
      <c r="G99" s="1309">
        <v>0.5</v>
      </c>
      <c r="H99" s="1309">
        <v>5</v>
      </c>
      <c r="I99" s="1384"/>
      <c r="J99" s="1385"/>
      <c r="K99" s="1385"/>
      <c r="L99" s="1277"/>
      <c r="M99" s="1235"/>
    </row>
    <row r="100" spans="1:13" ht="14.25" thickTop="1" thickBot="1">
      <c r="A100" s="1235"/>
      <c r="B100" s="1334"/>
      <c r="C100" s="1335"/>
      <c r="D100" s="1335"/>
      <c r="E100" s="1335"/>
      <c r="F100" s="1335"/>
      <c r="G100" s="1337"/>
      <c r="H100" s="1337"/>
      <c r="I100" s="1364"/>
      <c r="J100" s="1235"/>
      <c r="K100" s="1235"/>
      <c r="L100" s="1235"/>
      <c r="M100" s="1235"/>
    </row>
    <row r="101" spans="1:13">
      <c r="A101" s="1235"/>
      <c r="B101" s="1038"/>
      <c r="C101" s="1038"/>
      <c r="D101" s="1038"/>
      <c r="E101" s="1038"/>
      <c r="F101" s="1038"/>
      <c r="G101" s="1235"/>
      <c r="H101" s="1235"/>
      <c r="I101" s="1235"/>
      <c r="J101" s="1235"/>
      <c r="K101" s="1235"/>
      <c r="L101" s="1235"/>
      <c r="M101" s="1235"/>
    </row>
  </sheetData>
  <mergeCells count="19">
    <mergeCell ref="C99:F99"/>
    <mergeCell ref="C76:F76"/>
    <mergeCell ref="C83:F83"/>
    <mergeCell ref="C88:F88"/>
    <mergeCell ref="C89:F89"/>
    <mergeCell ref="C94:F94"/>
    <mergeCell ref="D98:F98"/>
    <mergeCell ref="L36:L37"/>
    <mergeCell ref="E37:F37"/>
    <mergeCell ref="C60:E60"/>
    <mergeCell ref="D62:F62"/>
    <mergeCell ref="D63:F63"/>
    <mergeCell ref="C65:E65"/>
    <mergeCell ref="D15:F15"/>
    <mergeCell ref="D17:F17"/>
    <mergeCell ref="D21:F21"/>
    <mergeCell ref="D22:F22"/>
    <mergeCell ref="C25:F25"/>
    <mergeCell ref="E36:F36"/>
  </mergeCells>
  <phoneticPr fontId="1"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C5FFFF"/>
  </sheetPr>
  <dimension ref="A1:J80"/>
  <sheetViews>
    <sheetView workbookViewId="0">
      <selection sqref="A1:XFD1048576"/>
    </sheetView>
  </sheetViews>
  <sheetFormatPr defaultColWidth="8.85546875" defaultRowHeight="10.5"/>
  <cols>
    <col min="1" max="1" width="8.140625" style="1388" customWidth="1"/>
    <col min="2" max="2" width="15.42578125" style="1388" customWidth="1"/>
    <col min="3" max="3" width="48.7109375" style="1388" bestFit="1" customWidth="1"/>
    <col min="4" max="4" width="16.140625" style="1388" customWidth="1"/>
    <col min="5" max="10" width="11" style="1388" customWidth="1"/>
    <col min="11" max="16384" width="8.85546875" style="1388"/>
  </cols>
  <sheetData>
    <row r="1" spans="1:10" ht="12.75" customHeight="1">
      <c r="A1" s="1386" t="s">
        <v>551</v>
      </c>
      <c r="B1" s="1387"/>
      <c r="C1" s="1387"/>
      <c r="D1" s="1387"/>
      <c r="E1" s="1387"/>
      <c r="F1" s="54"/>
      <c r="G1" s="1387"/>
      <c r="H1" s="1387"/>
      <c r="I1" s="1387"/>
    </row>
    <row r="2" spans="1:10" s="1391" customFormat="1" ht="12.75">
      <c r="A2" s="1389"/>
      <c r="B2" s="1390"/>
      <c r="C2" s="1390"/>
      <c r="D2" s="1390"/>
      <c r="E2" s="1390"/>
      <c r="F2" s="1390"/>
      <c r="G2" s="1390"/>
      <c r="H2" s="1390"/>
      <c r="I2" s="1390"/>
    </row>
    <row r="3" spans="1:10" ht="15">
      <c r="A3" s="1386" t="s">
        <v>101</v>
      </c>
      <c r="B3" s="1387"/>
      <c r="C3" s="1387"/>
      <c r="D3" s="1387"/>
      <c r="E3" s="1387"/>
      <c r="F3" s="1387"/>
      <c r="G3" s="1387"/>
      <c r="H3" s="1387"/>
      <c r="I3" s="1387"/>
    </row>
    <row r="4" spans="1:10" ht="12.75">
      <c r="A4" s="1392"/>
      <c r="B4" s="1387"/>
      <c r="C4" s="1387"/>
      <c r="D4" s="1387"/>
      <c r="E4" s="1387"/>
      <c r="F4" s="1387"/>
      <c r="G4" s="1387"/>
      <c r="H4" s="1387"/>
      <c r="I4" s="1387"/>
    </row>
    <row r="5" spans="1:10" ht="20.25">
      <c r="A5" s="1779" t="s">
        <v>747</v>
      </c>
      <c r="B5" s="1779"/>
      <c r="C5" s="1779"/>
      <c r="D5" s="1393"/>
      <c r="E5" s="1394"/>
      <c r="F5" s="1394"/>
      <c r="G5" s="1394"/>
    </row>
    <row r="6" spans="1:10" ht="15" thickBot="1">
      <c r="A6" s="1395"/>
      <c r="B6" s="1395"/>
      <c r="C6" s="1396"/>
      <c r="D6" s="1396"/>
      <c r="E6" s="1397"/>
      <c r="F6" s="1397"/>
      <c r="G6" s="1397"/>
    </row>
    <row r="7" spans="1:10" ht="15.75" thickBot="1">
      <c r="A7" s="1395"/>
      <c r="B7" s="1395"/>
      <c r="C7" s="1398"/>
      <c r="D7" s="1399" t="s">
        <v>210</v>
      </c>
      <c r="E7" s="1399" t="s">
        <v>99</v>
      </c>
      <c r="F7" s="1399" t="s">
        <v>100</v>
      </c>
      <c r="G7" s="1399" t="s">
        <v>101</v>
      </c>
      <c r="H7" s="1399" t="s">
        <v>102</v>
      </c>
      <c r="I7" s="1400" t="s">
        <v>64</v>
      </c>
      <c r="J7" s="1400" t="s">
        <v>213</v>
      </c>
    </row>
    <row r="8" spans="1:10" ht="15">
      <c r="A8" s="1395"/>
      <c r="B8" s="1395"/>
      <c r="C8" s="1401" t="s">
        <v>748</v>
      </c>
      <c r="D8" s="1402"/>
      <c r="E8" s="1780" t="s">
        <v>749</v>
      </c>
      <c r="F8" s="1781"/>
      <c r="G8" s="1781"/>
      <c r="H8" s="1782" t="s">
        <v>750</v>
      </c>
      <c r="I8" s="1783"/>
      <c r="J8" s="1784"/>
    </row>
    <row r="9" spans="1:10" ht="14.25">
      <c r="A9" s="1395"/>
      <c r="B9" s="1395"/>
      <c r="C9" s="1403" t="s">
        <v>751</v>
      </c>
      <c r="D9" s="1404" t="s">
        <v>752</v>
      </c>
      <c r="E9" s="1405"/>
      <c r="F9" s="1406"/>
      <c r="G9" s="1407">
        <v>1.6</v>
      </c>
      <c r="H9" s="1405">
        <v>1.5698000000000001</v>
      </c>
      <c r="I9" s="1406"/>
      <c r="J9" s="1408"/>
    </row>
    <row r="10" spans="1:10" ht="14.25">
      <c r="A10" s="1395"/>
      <c r="B10" s="1395"/>
      <c r="C10" s="1403" t="s">
        <v>753</v>
      </c>
      <c r="D10" s="1404" t="s">
        <v>754</v>
      </c>
      <c r="E10" s="1405"/>
      <c r="F10" s="1406"/>
      <c r="G10" s="1407">
        <v>66.3</v>
      </c>
      <c r="H10" s="1405">
        <v>0</v>
      </c>
      <c r="I10" s="1406"/>
      <c r="J10" s="1408"/>
    </row>
    <row r="11" spans="1:10" ht="14.25">
      <c r="A11" s="1395"/>
      <c r="B11" s="1395"/>
      <c r="C11" s="1403" t="s">
        <v>755</v>
      </c>
      <c r="D11" s="1404" t="s">
        <v>756</v>
      </c>
      <c r="E11" s="1405"/>
      <c r="F11" s="1406"/>
      <c r="G11" s="1407">
        <v>70.5</v>
      </c>
      <c r="H11" s="1405">
        <v>0</v>
      </c>
      <c r="I11" s="1406"/>
      <c r="J11" s="1408"/>
    </row>
    <row r="12" spans="1:10" ht="15.75" thickBot="1">
      <c r="A12" s="1395"/>
      <c r="B12" s="1395"/>
      <c r="C12" s="1403"/>
      <c r="D12" s="1409"/>
      <c r="E12" s="1410"/>
      <c r="F12" s="1411"/>
      <c r="G12" s="1411"/>
      <c r="H12" s="1410"/>
      <c r="I12" s="1411"/>
      <c r="J12" s="1412"/>
    </row>
    <row r="13" spans="1:10" ht="15">
      <c r="A13" s="1395"/>
      <c r="B13" s="1395"/>
      <c r="C13" s="1413" t="s">
        <v>757</v>
      </c>
      <c r="D13" s="1402"/>
      <c r="E13" s="1414"/>
      <c r="F13" s="1397"/>
      <c r="G13" s="1397"/>
      <c r="J13" s="1415"/>
    </row>
    <row r="14" spans="1:10" ht="14.25">
      <c r="A14" s="1395"/>
      <c r="B14" s="1395"/>
      <c r="C14" s="1416"/>
      <c r="D14" s="1404"/>
      <c r="E14" s="1414"/>
      <c r="F14" s="1397"/>
      <c r="G14" s="1397"/>
      <c r="J14" s="1415"/>
    </row>
    <row r="15" spans="1:10" ht="14.25">
      <c r="A15" s="1395"/>
      <c r="B15" s="1395"/>
      <c r="C15" s="1417" t="s">
        <v>758</v>
      </c>
      <c r="D15" s="1404"/>
      <c r="E15" s="1414"/>
      <c r="F15" s="1397"/>
      <c r="G15" s="1397"/>
      <c r="J15" s="1415"/>
    </row>
    <row r="16" spans="1:10" ht="14.25">
      <c r="A16" s="1395"/>
      <c r="B16" s="1395"/>
      <c r="C16" s="1417" t="s">
        <v>759</v>
      </c>
      <c r="D16" s="1404"/>
      <c r="E16" s="1414"/>
      <c r="F16" s="1397"/>
      <c r="G16" s="1397"/>
      <c r="J16" s="1415"/>
    </row>
    <row r="17" spans="1:10" ht="14.25">
      <c r="A17" s="1395"/>
      <c r="B17" s="1395"/>
      <c r="C17" s="1416" t="s">
        <v>760</v>
      </c>
      <c r="D17" s="1404" t="s">
        <v>761</v>
      </c>
      <c r="E17" s="1405"/>
      <c r="F17" s="1406"/>
      <c r="G17" s="1407">
        <v>0</v>
      </c>
      <c r="H17" s="1405">
        <v>0</v>
      </c>
      <c r="I17" s="1406"/>
      <c r="J17" s="1408"/>
    </row>
    <row r="18" spans="1:10" ht="14.25">
      <c r="A18" s="1395"/>
      <c r="B18" s="1395"/>
      <c r="C18" s="1416" t="s">
        <v>245</v>
      </c>
      <c r="D18" s="1404" t="s">
        <v>761</v>
      </c>
      <c r="E18" s="1405"/>
      <c r="F18" s="1406"/>
      <c r="G18" s="1407">
        <v>11</v>
      </c>
      <c r="H18" s="1405">
        <v>0</v>
      </c>
      <c r="I18" s="1406"/>
      <c r="J18" s="1408"/>
    </row>
    <row r="19" spans="1:10" ht="14.25">
      <c r="A19" s="1395"/>
      <c r="B19" s="1395"/>
      <c r="C19" s="1416" t="s">
        <v>244</v>
      </c>
      <c r="D19" s="1404" t="s">
        <v>761</v>
      </c>
      <c r="E19" s="1405"/>
      <c r="F19" s="1406"/>
      <c r="G19" s="1407">
        <v>14788</v>
      </c>
      <c r="H19" s="1405">
        <v>0</v>
      </c>
      <c r="I19" s="1406"/>
      <c r="J19" s="1408"/>
    </row>
    <row r="20" spans="1:10" ht="14.25">
      <c r="A20" s="1395"/>
      <c r="B20" s="1395"/>
      <c r="C20" s="1416" t="s">
        <v>762</v>
      </c>
      <c r="D20" s="1404" t="s">
        <v>761</v>
      </c>
      <c r="E20" s="1405"/>
      <c r="F20" s="1406"/>
      <c r="G20" s="1407">
        <v>8</v>
      </c>
      <c r="H20" s="1405">
        <v>0</v>
      </c>
      <c r="I20" s="1406"/>
      <c r="J20" s="1408"/>
    </row>
    <row r="21" spans="1:10" ht="14.25">
      <c r="A21" s="1395"/>
      <c r="B21" s="1395"/>
      <c r="C21" s="1416"/>
      <c r="D21" s="1404"/>
      <c r="E21" s="1414"/>
      <c r="F21" s="1397"/>
      <c r="G21" s="1397"/>
      <c r="H21" s="1414"/>
      <c r="I21" s="1397"/>
      <c r="J21" s="1418"/>
    </row>
    <row r="22" spans="1:10" ht="14.25">
      <c r="A22" s="1395"/>
      <c r="B22" s="1395"/>
      <c r="C22" s="1417" t="s">
        <v>763</v>
      </c>
      <c r="D22" s="1404"/>
      <c r="E22" s="1414"/>
      <c r="F22" s="1397"/>
      <c r="G22" s="1397"/>
      <c r="H22" s="1414"/>
      <c r="I22" s="1397"/>
      <c r="J22" s="1418"/>
    </row>
    <row r="23" spans="1:10" ht="14.25">
      <c r="A23" s="1395"/>
      <c r="B23" s="1395"/>
      <c r="C23" s="1416" t="s">
        <v>426</v>
      </c>
      <c r="D23" s="1404" t="s">
        <v>230</v>
      </c>
      <c r="E23" s="1405"/>
      <c r="F23" s="1406"/>
      <c r="G23" s="1407">
        <v>458</v>
      </c>
      <c r="H23" s="1405">
        <v>0</v>
      </c>
      <c r="I23" s="1406"/>
      <c r="J23" s="1408"/>
    </row>
    <row r="24" spans="1:10" ht="14.25">
      <c r="A24" s="1395"/>
      <c r="B24" s="1395"/>
      <c r="C24" s="1416" t="s">
        <v>427</v>
      </c>
      <c r="D24" s="1404" t="s">
        <v>230</v>
      </c>
      <c r="E24" s="1405"/>
      <c r="F24" s="1406"/>
      <c r="G24" s="1407">
        <v>361</v>
      </c>
      <c r="H24" s="1405">
        <v>0</v>
      </c>
      <c r="I24" s="1406"/>
      <c r="J24" s="1408"/>
    </row>
    <row r="25" spans="1:10" ht="14.25">
      <c r="A25" s="1395"/>
      <c r="B25" s="1395"/>
      <c r="C25" s="1416" t="s">
        <v>245</v>
      </c>
      <c r="D25" s="1404" t="s">
        <v>230</v>
      </c>
      <c r="E25" s="1405"/>
      <c r="F25" s="1406"/>
      <c r="G25" s="1407">
        <v>152</v>
      </c>
      <c r="H25" s="1405">
        <v>0</v>
      </c>
      <c r="I25" s="1406"/>
      <c r="J25" s="1408"/>
    </row>
    <row r="26" spans="1:10" ht="15" thickBot="1">
      <c r="A26" s="1395"/>
      <c r="B26" s="1395"/>
      <c r="C26" s="1416" t="s">
        <v>244</v>
      </c>
      <c r="D26" s="1404" t="s">
        <v>230</v>
      </c>
      <c r="E26" s="1405"/>
      <c r="F26" s="1406"/>
      <c r="G26" s="1407">
        <v>2</v>
      </c>
      <c r="H26" s="1405">
        <v>0</v>
      </c>
      <c r="I26" s="1406"/>
      <c r="J26" s="1408"/>
    </row>
    <row r="27" spans="1:10" ht="15" thickBot="1">
      <c r="A27" s="1395"/>
      <c r="B27" s="1395"/>
      <c r="C27" s="1417" t="s">
        <v>220</v>
      </c>
      <c r="D27" s="1404"/>
      <c r="E27" s="1419"/>
      <c r="F27" s="1420"/>
      <c r="G27" s="1420">
        <v>973</v>
      </c>
      <c r="H27" s="1420">
        <v>0</v>
      </c>
      <c r="I27" s="1420"/>
      <c r="J27" s="1421"/>
    </row>
    <row r="28" spans="1:10" ht="14.25">
      <c r="A28" s="1395"/>
      <c r="B28" s="1395"/>
      <c r="C28" s="1416"/>
      <c r="D28" s="1404"/>
      <c r="E28" s="1422"/>
      <c r="F28" s="1423"/>
      <c r="G28" s="1423"/>
      <c r="H28" s="1423"/>
      <c r="I28" s="1423"/>
      <c r="J28" s="1424"/>
    </row>
    <row r="29" spans="1:10" ht="14.25">
      <c r="A29" s="1395"/>
      <c r="B29" s="1395"/>
      <c r="C29" s="1417" t="s">
        <v>764</v>
      </c>
      <c r="D29" s="1404"/>
      <c r="E29" s="1422"/>
      <c r="F29" s="1423"/>
      <c r="G29" s="1423"/>
      <c r="H29" s="1423"/>
      <c r="I29" s="1423"/>
      <c r="J29" s="1424"/>
    </row>
    <row r="30" spans="1:10" ht="14.25">
      <c r="A30" s="1395"/>
      <c r="B30" s="1395"/>
      <c r="C30" s="1416" t="s">
        <v>765</v>
      </c>
      <c r="D30" s="1404" t="s">
        <v>230</v>
      </c>
      <c r="E30" s="1405"/>
      <c r="F30" s="1406"/>
      <c r="G30" s="1407">
        <v>2877</v>
      </c>
      <c r="H30" s="1405">
        <v>0</v>
      </c>
      <c r="I30" s="1406"/>
      <c r="J30" s="1408"/>
    </row>
    <row r="31" spans="1:10" ht="14.25">
      <c r="A31" s="1395"/>
      <c r="B31" s="1395"/>
      <c r="C31" s="1416" t="s">
        <v>766</v>
      </c>
      <c r="D31" s="1404" t="s">
        <v>230</v>
      </c>
      <c r="E31" s="1405"/>
      <c r="F31" s="1406"/>
      <c r="G31" s="1407">
        <v>2877</v>
      </c>
      <c r="H31" s="1405">
        <v>0</v>
      </c>
      <c r="I31" s="1406"/>
      <c r="J31" s="1408"/>
    </row>
    <row r="32" spans="1:10" ht="14.25">
      <c r="A32" s="1395"/>
      <c r="B32" s="1395"/>
      <c r="C32" s="1416"/>
      <c r="D32" s="1404"/>
      <c r="E32" s="1422"/>
      <c r="F32" s="1423"/>
      <c r="G32" s="1423"/>
      <c r="H32" s="1423"/>
      <c r="I32" s="1423"/>
      <c r="J32" s="1424"/>
    </row>
    <row r="33" spans="1:10" ht="14.25">
      <c r="A33" s="1395"/>
      <c r="B33" s="1395"/>
      <c r="C33" s="1417" t="s">
        <v>767</v>
      </c>
      <c r="D33" s="1404"/>
      <c r="E33" s="1422"/>
      <c r="F33" s="1423"/>
      <c r="G33" s="1423"/>
      <c r="H33" s="1423"/>
      <c r="I33" s="1423"/>
      <c r="J33" s="1424"/>
    </row>
    <row r="34" spans="1:10" ht="14.25">
      <c r="A34" s="1395"/>
      <c r="B34" s="1395"/>
      <c r="C34" s="1416" t="s">
        <v>760</v>
      </c>
      <c r="D34" s="1404" t="s">
        <v>236</v>
      </c>
      <c r="E34" s="1405"/>
      <c r="F34" s="1406"/>
      <c r="G34" s="1407">
        <v>2243.4</v>
      </c>
      <c r="H34" s="1405">
        <v>1870.81</v>
      </c>
      <c r="I34" s="1406"/>
      <c r="J34" s="1408"/>
    </row>
    <row r="35" spans="1:10" ht="14.25">
      <c r="A35" s="1395"/>
      <c r="B35" s="1395"/>
      <c r="C35" s="1416" t="s">
        <v>245</v>
      </c>
      <c r="D35" s="1404" t="s">
        <v>236</v>
      </c>
      <c r="E35" s="1405"/>
      <c r="F35" s="1406"/>
      <c r="G35" s="1407">
        <v>3311.5</v>
      </c>
      <c r="H35" s="1405">
        <v>3131.73</v>
      </c>
      <c r="I35" s="1406"/>
      <c r="J35" s="1408"/>
    </row>
    <row r="36" spans="1:10" ht="15" thickBot="1">
      <c r="A36" s="1395"/>
      <c r="B36" s="1395"/>
      <c r="C36" s="1416" t="s">
        <v>244</v>
      </c>
      <c r="D36" s="1404" t="s">
        <v>236</v>
      </c>
      <c r="E36" s="1405"/>
      <c r="F36" s="1406"/>
      <c r="G36" s="1407">
        <v>11379.3</v>
      </c>
      <c r="H36" s="1405">
        <v>11304.656999999999</v>
      </c>
      <c r="I36" s="1406"/>
      <c r="J36" s="1408"/>
    </row>
    <row r="37" spans="1:10" ht="15" thickBot="1">
      <c r="A37" s="1395"/>
      <c r="B37" s="1395"/>
      <c r="C37" s="1417" t="s">
        <v>220</v>
      </c>
      <c r="D37" s="1404"/>
      <c r="E37" s="1419"/>
      <c r="F37" s="1420"/>
      <c r="G37" s="1420">
        <v>16934.2</v>
      </c>
      <c r="H37" s="1420">
        <v>16307.197</v>
      </c>
      <c r="I37" s="1420"/>
      <c r="J37" s="1421"/>
    </row>
    <row r="38" spans="1:10" ht="14.25">
      <c r="A38" s="1395"/>
      <c r="B38" s="1395"/>
      <c r="C38" s="1416"/>
      <c r="D38" s="1404"/>
      <c r="E38" s="1414"/>
      <c r="F38" s="1397"/>
      <c r="G38" s="1397"/>
      <c r="H38" s="1414"/>
      <c r="I38" s="1397"/>
      <c r="J38" s="1418"/>
    </row>
    <row r="39" spans="1:10" ht="14.25">
      <c r="A39" s="1395"/>
      <c r="B39" s="1395"/>
      <c r="C39" s="1417" t="s">
        <v>768</v>
      </c>
      <c r="D39" s="1404"/>
      <c r="E39" s="1414"/>
      <c r="F39" s="1397"/>
      <c r="G39" s="1397"/>
      <c r="H39" s="1414"/>
      <c r="I39" s="1397"/>
      <c r="J39" s="1418"/>
    </row>
    <row r="40" spans="1:10" ht="14.25">
      <c r="A40" s="1395"/>
      <c r="B40" s="1395"/>
      <c r="C40" s="1416" t="s">
        <v>769</v>
      </c>
      <c r="D40" s="1404" t="s">
        <v>770</v>
      </c>
      <c r="E40" s="1405"/>
      <c r="F40" s="1406"/>
      <c r="G40" s="1407">
        <v>891.2</v>
      </c>
      <c r="H40" s="1405">
        <v>803</v>
      </c>
      <c r="I40" s="1406"/>
      <c r="J40" s="1408"/>
    </row>
    <row r="41" spans="1:10" ht="14.25">
      <c r="A41" s="1395"/>
      <c r="B41" s="1395"/>
      <c r="C41" s="1416" t="s">
        <v>771</v>
      </c>
      <c r="D41" s="1404" t="s">
        <v>772</v>
      </c>
      <c r="E41" s="1405"/>
      <c r="F41" s="1406"/>
      <c r="G41" s="1425">
        <v>5.2627227740312518E-2</v>
      </c>
      <c r="H41" s="1405">
        <v>4.9242061649221507E-2</v>
      </c>
      <c r="I41" s="1406"/>
      <c r="J41" s="1426"/>
    </row>
    <row r="42" spans="1:10" ht="14.25">
      <c r="A42" s="1395"/>
      <c r="B42" s="1395"/>
      <c r="C42" s="1416"/>
      <c r="D42" s="1404"/>
      <c r="E42" s="1422"/>
      <c r="F42" s="1423"/>
      <c r="G42" s="1423"/>
      <c r="H42" s="1423"/>
      <c r="I42" s="1423"/>
      <c r="J42" s="1424"/>
    </row>
    <row r="43" spans="1:10" ht="15.75" thickBot="1">
      <c r="A43" s="1395"/>
      <c r="B43" s="1395"/>
      <c r="C43" s="1403"/>
      <c r="D43" s="1409"/>
      <c r="E43" s="1410"/>
      <c r="F43" s="1411"/>
      <c r="G43" s="1411"/>
      <c r="H43" s="1411"/>
      <c r="I43" s="1411"/>
      <c r="J43" s="1412"/>
    </row>
    <row r="44" spans="1:10" ht="15">
      <c r="A44" s="1395"/>
      <c r="B44" s="1395"/>
      <c r="C44" s="1413" t="s">
        <v>773</v>
      </c>
      <c r="D44" s="1404"/>
      <c r="E44" s="1422"/>
      <c r="F44" s="1423"/>
      <c r="G44" s="1423"/>
      <c r="H44" s="1423"/>
      <c r="I44" s="1423"/>
      <c r="J44" s="1424"/>
    </row>
    <row r="45" spans="1:10" ht="14.25">
      <c r="A45" s="1395"/>
      <c r="B45" s="1395"/>
      <c r="C45" s="1416"/>
      <c r="D45" s="1404"/>
      <c r="E45" s="1422"/>
      <c r="F45" s="1423"/>
      <c r="G45" s="1423"/>
      <c r="H45" s="1423"/>
      <c r="I45" s="1423"/>
      <c r="J45" s="1424"/>
    </row>
    <row r="46" spans="1:10" ht="14.25">
      <c r="A46" s="1395"/>
      <c r="B46" s="1395"/>
      <c r="C46" s="1417" t="s">
        <v>774</v>
      </c>
      <c r="D46" s="1404"/>
      <c r="E46" s="1422"/>
      <c r="F46" s="1423"/>
      <c r="G46" s="1423"/>
      <c r="H46" s="1423"/>
      <c r="I46" s="1423"/>
      <c r="J46" s="1424"/>
    </row>
    <row r="47" spans="1:10" ht="14.25">
      <c r="A47" s="1395"/>
      <c r="B47" s="1395"/>
      <c r="C47" s="1416" t="s">
        <v>426</v>
      </c>
      <c r="D47" s="1404" t="s">
        <v>775</v>
      </c>
      <c r="E47" s="1405"/>
      <c r="F47" s="1406"/>
      <c r="G47" s="1427">
        <v>606.1</v>
      </c>
      <c r="H47" s="1405">
        <v>0</v>
      </c>
      <c r="I47" s="1406"/>
      <c r="J47" s="1428"/>
    </row>
    <row r="48" spans="1:10" ht="14.25">
      <c r="A48" s="1395"/>
      <c r="B48" s="1395"/>
      <c r="C48" s="1416" t="s">
        <v>427</v>
      </c>
      <c r="D48" s="1404" t="s">
        <v>775</v>
      </c>
      <c r="E48" s="1405"/>
      <c r="F48" s="1406"/>
      <c r="G48" s="1427">
        <v>1359.2</v>
      </c>
      <c r="H48" s="1405">
        <v>0</v>
      </c>
      <c r="I48" s="1406"/>
      <c r="J48" s="1428"/>
    </row>
    <row r="49" spans="1:10" ht="14.25">
      <c r="A49" s="1395"/>
      <c r="B49" s="1395"/>
      <c r="C49" s="1416" t="s">
        <v>245</v>
      </c>
      <c r="D49" s="1404" t="s">
        <v>775</v>
      </c>
      <c r="E49" s="1405"/>
      <c r="F49" s="1406"/>
      <c r="G49" s="1427">
        <v>10355.799999999999</v>
      </c>
      <c r="H49" s="1405">
        <v>0</v>
      </c>
      <c r="I49" s="1406"/>
      <c r="J49" s="1428"/>
    </row>
    <row r="50" spans="1:10" ht="15" thickBot="1">
      <c r="A50" s="1395"/>
      <c r="B50" s="1395"/>
      <c r="C50" s="1416" t="s">
        <v>244</v>
      </c>
      <c r="D50" s="1404" t="s">
        <v>775</v>
      </c>
      <c r="E50" s="1405"/>
      <c r="F50" s="1406"/>
      <c r="G50" s="1427">
        <v>2591</v>
      </c>
      <c r="H50" s="1405">
        <v>0</v>
      </c>
      <c r="I50" s="1406"/>
      <c r="J50" s="1428"/>
    </row>
    <row r="51" spans="1:10" ht="15" thickBot="1">
      <c r="A51" s="1395"/>
      <c r="B51" s="1395"/>
      <c r="C51" s="1417" t="s">
        <v>220</v>
      </c>
      <c r="D51" s="1404" t="s">
        <v>775</v>
      </c>
      <c r="E51" s="1419"/>
      <c r="F51" s="1420"/>
      <c r="G51" s="1420">
        <v>14912.1</v>
      </c>
      <c r="H51" s="1420">
        <v>0</v>
      </c>
      <c r="I51" s="1420"/>
      <c r="J51" s="1421"/>
    </row>
    <row r="52" spans="1:10" ht="14.25">
      <c r="A52" s="1395"/>
      <c r="B52" s="1395"/>
      <c r="C52" s="1416"/>
      <c r="D52" s="1404"/>
      <c r="E52" s="1422"/>
      <c r="F52" s="1423"/>
      <c r="G52" s="1423"/>
      <c r="H52" s="1423"/>
      <c r="I52" s="1423"/>
      <c r="J52" s="1424"/>
    </row>
    <row r="53" spans="1:10" ht="14.25">
      <c r="A53" s="1395"/>
      <c r="B53" s="1395"/>
      <c r="C53" s="1417" t="s">
        <v>776</v>
      </c>
      <c r="D53" s="1404"/>
      <c r="E53" s="1422"/>
      <c r="F53" s="1423"/>
      <c r="G53" s="1423"/>
      <c r="H53" s="1423"/>
      <c r="I53" s="1423"/>
      <c r="J53" s="1424"/>
    </row>
    <row r="54" spans="1:10" ht="14.25">
      <c r="A54" s="1395"/>
      <c r="B54" s="1395"/>
      <c r="C54" s="1416" t="s">
        <v>426</v>
      </c>
      <c r="D54" s="1404" t="s">
        <v>775</v>
      </c>
      <c r="E54" s="1405"/>
      <c r="F54" s="1406"/>
      <c r="G54" s="1427">
        <v>89.2</v>
      </c>
      <c r="H54" s="1405">
        <v>0</v>
      </c>
      <c r="I54" s="1406"/>
      <c r="J54" s="1428"/>
    </row>
    <row r="55" spans="1:10" ht="14.25">
      <c r="A55" s="1395"/>
      <c r="B55" s="1395"/>
      <c r="C55" s="1416" t="s">
        <v>427</v>
      </c>
      <c r="D55" s="1404" t="s">
        <v>775</v>
      </c>
      <c r="E55" s="1405"/>
      <c r="F55" s="1406"/>
      <c r="G55" s="1427">
        <v>923</v>
      </c>
      <c r="H55" s="1405">
        <v>0</v>
      </c>
      <c r="I55" s="1406"/>
      <c r="J55" s="1428"/>
    </row>
    <row r="56" spans="1:10" ht="14.25">
      <c r="A56" s="1395"/>
      <c r="B56" s="1395"/>
      <c r="C56" s="1416" t="s">
        <v>245</v>
      </c>
      <c r="D56" s="1404" t="s">
        <v>775</v>
      </c>
      <c r="E56" s="1405"/>
      <c r="F56" s="1406"/>
      <c r="G56" s="1427">
        <v>7951.8</v>
      </c>
      <c r="H56" s="1405">
        <v>0</v>
      </c>
      <c r="I56" s="1406"/>
      <c r="J56" s="1428"/>
    </row>
    <row r="57" spans="1:10" ht="15" thickBot="1">
      <c r="A57" s="1395"/>
      <c r="B57" s="1395"/>
      <c r="C57" s="1416" t="s">
        <v>244</v>
      </c>
      <c r="D57" s="1404" t="s">
        <v>775</v>
      </c>
      <c r="E57" s="1405"/>
      <c r="F57" s="1406"/>
      <c r="G57" s="1427">
        <v>15654.3</v>
      </c>
      <c r="H57" s="1405">
        <v>0</v>
      </c>
      <c r="I57" s="1406"/>
      <c r="J57" s="1428"/>
    </row>
    <row r="58" spans="1:10" ht="15" thickBot="1">
      <c r="A58" s="1395"/>
      <c r="B58" s="1395"/>
      <c r="C58" s="1416" t="s">
        <v>220</v>
      </c>
      <c r="D58" s="1404" t="s">
        <v>775</v>
      </c>
      <c r="E58" s="1419"/>
      <c r="F58" s="1420"/>
      <c r="G58" s="1420">
        <v>24618.3</v>
      </c>
      <c r="H58" s="1420">
        <v>0</v>
      </c>
      <c r="I58" s="1420"/>
      <c r="J58" s="1421"/>
    </row>
    <row r="59" spans="1:10" ht="14.25">
      <c r="A59" s="1395"/>
      <c r="B59" s="1395"/>
      <c r="C59" s="1416"/>
      <c r="D59" s="1404"/>
      <c r="E59" s="1422"/>
      <c r="F59" s="1423"/>
      <c r="G59" s="1423"/>
      <c r="H59" s="1423"/>
      <c r="I59" s="1423"/>
      <c r="J59" s="1424"/>
    </row>
    <row r="60" spans="1:10" ht="14.25">
      <c r="A60" s="1395"/>
      <c r="B60" s="1395"/>
      <c r="C60" s="1417" t="s">
        <v>777</v>
      </c>
      <c r="D60" s="1404"/>
      <c r="E60" s="1422"/>
      <c r="F60" s="1423"/>
      <c r="G60" s="1423"/>
      <c r="H60" s="1423"/>
      <c r="I60" s="1423"/>
      <c r="J60" s="1424"/>
    </row>
    <row r="61" spans="1:10" ht="14.25">
      <c r="A61" s="1395"/>
      <c r="B61" s="1395"/>
      <c r="C61" s="1416" t="s">
        <v>426</v>
      </c>
      <c r="D61" s="1404" t="s">
        <v>775</v>
      </c>
      <c r="E61" s="1429"/>
      <c r="F61" s="1427"/>
      <c r="G61" s="1427">
        <v>695.3</v>
      </c>
      <c r="H61" s="1427">
        <v>695.3</v>
      </c>
      <c r="I61" s="1427"/>
      <c r="J61" s="1428"/>
    </row>
    <row r="62" spans="1:10" ht="14.25">
      <c r="A62" s="1395"/>
      <c r="B62" s="1395"/>
      <c r="C62" s="1416" t="s">
        <v>427</v>
      </c>
      <c r="D62" s="1404" t="s">
        <v>775</v>
      </c>
      <c r="E62" s="1429"/>
      <c r="F62" s="1427"/>
      <c r="G62" s="1427">
        <v>2282.1999999999998</v>
      </c>
      <c r="H62" s="1427">
        <v>2282.1999999999998</v>
      </c>
      <c r="I62" s="1427"/>
      <c r="J62" s="1428"/>
    </row>
    <row r="63" spans="1:10" ht="14.25">
      <c r="A63" s="1395"/>
      <c r="B63" s="1395"/>
      <c r="C63" s="1416" t="s">
        <v>245</v>
      </c>
      <c r="D63" s="1404" t="s">
        <v>775</v>
      </c>
      <c r="E63" s="1429"/>
      <c r="F63" s="1427"/>
      <c r="G63" s="1427">
        <v>18307.599999999999</v>
      </c>
      <c r="H63" s="1427">
        <v>18307.599999999999</v>
      </c>
      <c r="I63" s="1427"/>
      <c r="J63" s="1428"/>
    </row>
    <row r="64" spans="1:10" ht="15" thickBot="1">
      <c r="A64" s="1395"/>
      <c r="B64" s="1395"/>
      <c r="C64" s="1416" t="s">
        <v>244</v>
      </c>
      <c r="D64" s="1404" t="s">
        <v>775</v>
      </c>
      <c r="E64" s="1429"/>
      <c r="F64" s="1427"/>
      <c r="G64" s="1427">
        <v>18245.3</v>
      </c>
      <c r="H64" s="1427">
        <v>18245.3</v>
      </c>
      <c r="I64" s="1427"/>
      <c r="J64" s="1428"/>
    </row>
    <row r="65" spans="1:10" ht="15" thickBot="1">
      <c r="A65" s="1395"/>
      <c r="B65" s="1395"/>
      <c r="C65" s="1417" t="s">
        <v>220</v>
      </c>
      <c r="D65" s="1404" t="s">
        <v>775</v>
      </c>
      <c r="E65" s="1419"/>
      <c r="F65" s="1420"/>
      <c r="G65" s="1420">
        <v>39530.400000000001</v>
      </c>
      <c r="H65" s="1420">
        <v>39530.400000000001</v>
      </c>
      <c r="I65" s="1420"/>
      <c r="J65" s="1421"/>
    </row>
    <row r="66" spans="1:10" ht="14.25">
      <c r="A66" s="1395"/>
      <c r="B66" s="1395"/>
      <c r="C66" s="1416"/>
      <c r="D66" s="1404"/>
      <c r="E66" s="1422"/>
      <c r="F66" s="1423"/>
      <c r="G66" s="1423"/>
      <c r="H66" s="1423"/>
      <c r="I66" s="1423"/>
      <c r="J66" s="1424"/>
    </row>
    <row r="67" spans="1:10" ht="14.25">
      <c r="A67" s="1395"/>
      <c r="B67" s="1395"/>
      <c r="C67" s="1417" t="s">
        <v>778</v>
      </c>
      <c r="D67" s="1404"/>
      <c r="E67" s="1422"/>
      <c r="F67" s="1423"/>
      <c r="G67" s="1423"/>
      <c r="H67" s="1423"/>
      <c r="I67" s="1423"/>
      <c r="J67" s="1424"/>
    </row>
    <row r="68" spans="1:10" ht="14.25">
      <c r="A68" s="1395"/>
      <c r="B68" s="1395"/>
      <c r="C68" s="1416" t="s">
        <v>426</v>
      </c>
      <c r="D68" s="1404" t="s">
        <v>779</v>
      </c>
      <c r="E68" s="1405"/>
      <c r="F68" s="1406"/>
      <c r="G68" s="1407">
        <v>41</v>
      </c>
      <c r="H68" s="1405">
        <v>41</v>
      </c>
      <c r="I68" s="1406"/>
      <c r="J68" s="1408"/>
    </row>
    <row r="69" spans="1:10" ht="14.25">
      <c r="A69" s="1395"/>
      <c r="B69" s="1395"/>
      <c r="C69" s="1416" t="s">
        <v>780</v>
      </c>
      <c r="D69" s="1404" t="s">
        <v>779</v>
      </c>
      <c r="E69" s="1405"/>
      <c r="F69" s="1406"/>
      <c r="G69" s="1407">
        <v>183</v>
      </c>
      <c r="H69" s="1405">
        <v>183</v>
      </c>
      <c r="I69" s="1406"/>
      <c r="J69" s="1408"/>
    </row>
    <row r="70" spans="1:10" ht="14.25">
      <c r="A70" s="1395"/>
      <c r="B70" s="1395"/>
      <c r="C70" s="1416" t="s">
        <v>781</v>
      </c>
      <c r="D70" s="1404" t="s">
        <v>779</v>
      </c>
      <c r="E70" s="1405"/>
      <c r="F70" s="1406"/>
      <c r="G70" s="1407">
        <v>20</v>
      </c>
      <c r="H70" s="1405">
        <v>20</v>
      </c>
      <c r="I70" s="1406"/>
      <c r="J70" s="1408"/>
    </row>
    <row r="71" spans="1:10" ht="14.25">
      <c r="A71" s="1395"/>
      <c r="B71" s="1395"/>
      <c r="C71" s="1416" t="s">
        <v>782</v>
      </c>
      <c r="D71" s="1404" t="s">
        <v>779</v>
      </c>
      <c r="E71" s="1405"/>
      <c r="F71" s="1406"/>
      <c r="G71" s="1407">
        <v>9576</v>
      </c>
      <c r="H71" s="1405">
        <v>9576</v>
      </c>
      <c r="I71" s="1406"/>
      <c r="J71" s="1408"/>
    </row>
    <row r="72" spans="1:10" ht="15" thickBot="1">
      <c r="A72" s="1395"/>
      <c r="B72" s="1395"/>
      <c r="C72" s="1416" t="s">
        <v>783</v>
      </c>
      <c r="D72" s="1404" t="s">
        <v>779</v>
      </c>
      <c r="E72" s="1405"/>
      <c r="F72" s="1406"/>
      <c r="G72" s="1407">
        <v>15584</v>
      </c>
      <c r="H72" s="1405">
        <v>15584</v>
      </c>
      <c r="I72" s="1406"/>
      <c r="J72" s="1408"/>
    </row>
    <row r="73" spans="1:10" ht="15" thickBot="1">
      <c r="A73" s="1395"/>
      <c r="B73" s="1395"/>
      <c r="C73" s="1417" t="s">
        <v>220</v>
      </c>
      <c r="D73" s="1404" t="s">
        <v>779</v>
      </c>
      <c r="E73" s="1419"/>
      <c r="F73" s="1420"/>
      <c r="G73" s="1420">
        <v>25404</v>
      </c>
      <c r="H73" s="1420">
        <v>25404</v>
      </c>
      <c r="I73" s="1420"/>
      <c r="J73" s="1421"/>
    </row>
    <row r="74" spans="1:10" ht="15.75" thickBot="1">
      <c r="A74" s="1395"/>
      <c r="B74" s="1395"/>
      <c r="C74" s="1410"/>
      <c r="D74" s="1409"/>
      <c r="E74" s="1410"/>
      <c r="F74" s="1411"/>
      <c r="G74" s="1411"/>
      <c r="H74" s="1410"/>
      <c r="I74" s="1411"/>
      <c r="J74" s="1412"/>
    </row>
    <row r="75" spans="1:10" ht="14.25">
      <c r="A75" s="1396"/>
      <c r="B75" s="1396"/>
      <c r="C75" s="1396"/>
      <c r="D75" s="1396"/>
      <c r="E75" s="1396"/>
      <c r="F75" s="1396"/>
      <c r="G75" s="1396"/>
    </row>
    <row r="76" spans="1:10" ht="14.25">
      <c r="A76" s="1395"/>
      <c r="B76" s="1395"/>
      <c r="C76" s="1396"/>
      <c r="D76" s="1396"/>
      <c r="E76" s="1396"/>
      <c r="F76" s="1396"/>
      <c r="G76" s="1396"/>
    </row>
    <row r="77" spans="1:10" ht="14.25">
      <c r="A77" s="1395"/>
      <c r="B77" s="1395"/>
      <c r="C77" s="1396"/>
      <c r="D77" s="1396"/>
      <c r="E77" s="1396"/>
      <c r="F77" s="1396"/>
      <c r="G77" s="1396"/>
    </row>
    <row r="78" spans="1:10" ht="14.25">
      <c r="A78" s="1395"/>
      <c r="B78" s="1395"/>
      <c r="C78" s="1396"/>
      <c r="D78" s="1396"/>
      <c r="E78" s="1396"/>
      <c r="F78" s="1396"/>
      <c r="G78" s="1396"/>
    </row>
    <row r="79" spans="1:10" ht="14.25">
      <c r="A79" s="1395"/>
      <c r="B79" s="1395"/>
      <c r="C79" s="1396"/>
      <c r="D79" s="1396"/>
      <c r="E79" s="1396"/>
      <c r="F79" s="1396"/>
      <c r="G79" s="1396"/>
    </row>
    <row r="80" spans="1:10" ht="14.25">
      <c r="A80" s="1395"/>
      <c r="B80" s="1395"/>
      <c r="C80" s="1396"/>
      <c r="D80" s="1396"/>
      <c r="E80" s="1396"/>
      <c r="F80" s="1396"/>
      <c r="G80" s="1396"/>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C5FFFF"/>
    <pageSetUpPr fitToPage="1"/>
  </sheetPr>
  <dimension ref="A1:M66"/>
  <sheetViews>
    <sheetView workbookViewId="0">
      <selection sqref="A1:XFD1048576"/>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47" t="s">
        <v>784</v>
      </c>
      <c r="J1" s="44"/>
    </row>
    <row r="8" spans="1:12" ht="15">
      <c r="A8" s="1430" t="s">
        <v>785</v>
      </c>
      <c r="B8" s="1431"/>
      <c r="C8" s="1432"/>
      <c r="D8" s="1433"/>
      <c r="E8" s="1431"/>
      <c r="F8" s="1431"/>
      <c r="G8" s="1434"/>
      <c r="H8" s="1435" t="s">
        <v>99</v>
      </c>
      <c r="I8" s="1435" t="s">
        <v>100</v>
      </c>
      <c r="J8" s="1435" t="s">
        <v>101</v>
      </c>
      <c r="K8" s="1435" t="s">
        <v>102</v>
      </c>
      <c r="L8" s="1435" t="s">
        <v>64</v>
      </c>
    </row>
    <row r="9" spans="1:12" ht="15">
      <c r="H9" s="1435">
        <v>16</v>
      </c>
      <c r="I9" s="1435">
        <v>17</v>
      </c>
      <c r="J9" s="1435">
        <v>18</v>
      </c>
      <c r="K9" s="1435">
        <v>19</v>
      </c>
      <c r="L9" s="1435">
        <v>20</v>
      </c>
    </row>
    <row r="10" spans="1:12" ht="15">
      <c r="H10" s="1435"/>
      <c r="I10" s="1435"/>
      <c r="J10" s="1435"/>
      <c r="K10" s="1435"/>
      <c r="L10" s="1435"/>
    </row>
    <row r="11" spans="1:12" ht="14.25">
      <c r="B11" s="1434" t="s">
        <v>786</v>
      </c>
      <c r="F11" t="s">
        <v>223</v>
      </c>
      <c r="H11" s="1436">
        <v>165.4</v>
      </c>
      <c r="I11" s="1436">
        <v>169.11475100000001</v>
      </c>
      <c r="J11" s="1436">
        <v>175.47958399999999</v>
      </c>
      <c r="K11" s="1436">
        <v>182.44307699999999</v>
      </c>
      <c r="L11" s="1436">
        <v>186.21</v>
      </c>
    </row>
    <row r="12" spans="1:12" ht="14.25">
      <c r="B12" s="1434" t="s">
        <v>787</v>
      </c>
      <c r="F12" t="s">
        <v>223</v>
      </c>
      <c r="H12" s="1436">
        <v>0.104742</v>
      </c>
      <c r="I12" s="1436">
        <v>-2.136917</v>
      </c>
      <c r="J12" s="1436">
        <v>-2.381996</v>
      </c>
      <c r="K12" s="1436">
        <v>-2.3572850000000001</v>
      </c>
      <c r="L12" s="1436">
        <v>1.8</v>
      </c>
    </row>
    <row r="13" spans="1:12" ht="14.25">
      <c r="B13" s="1434" t="s">
        <v>788</v>
      </c>
      <c r="F13" t="s">
        <v>223</v>
      </c>
      <c r="H13" s="1436">
        <v>7.5964299999999998</v>
      </c>
      <c r="I13" s="1436">
        <v>5.6754990000000003</v>
      </c>
      <c r="J13" s="1436">
        <v>0.56508199999999997</v>
      </c>
      <c r="K13" s="1436">
        <v>1.7870239999999999</v>
      </c>
      <c r="L13" s="1436">
        <v>1.1000000000000001</v>
      </c>
    </row>
    <row r="14" spans="1:12" ht="14.25">
      <c r="B14" s="1434" t="s">
        <v>789</v>
      </c>
      <c r="F14" t="s">
        <v>223</v>
      </c>
      <c r="H14" s="1436">
        <v>-9.3333480000000009</v>
      </c>
      <c r="I14" s="1436">
        <v>-12.205786</v>
      </c>
      <c r="J14" s="1436">
        <v>-15.6838</v>
      </c>
      <c r="K14" s="1436">
        <v>-2.8347989999999998</v>
      </c>
      <c r="L14" s="1436">
        <v>-6.42</v>
      </c>
    </row>
    <row r="15" spans="1:12" ht="14.25">
      <c r="B15" s="1434"/>
      <c r="H15" s="1437">
        <v>0</v>
      </c>
      <c r="I15" s="1437">
        <v>0</v>
      </c>
      <c r="J15" s="1437">
        <v>0</v>
      </c>
      <c r="K15" s="1437">
        <v>0</v>
      </c>
      <c r="L15" s="1437">
        <v>0</v>
      </c>
    </row>
    <row r="16" spans="1:12" ht="14.25">
      <c r="B16" s="1434" t="s">
        <v>790</v>
      </c>
      <c r="F16" t="s">
        <v>223</v>
      </c>
      <c r="H16" s="1438">
        <v>182.43451999999999</v>
      </c>
      <c r="I16" s="1438">
        <v>184.85911899999999</v>
      </c>
      <c r="J16" s="1438">
        <v>189.34647000000001</v>
      </c>
      <c r="K16" s="1438">
        <v>184.707615</v>
      </c>
      <c r="L16" s="1438">
        <v>195.53</v>
      </c>
    </row>
    <row r="17" spans="1:12" ht="14.25">
      <c r="B17" s="1434"/>
      <c r="H17" s="1439">
        <v>0</v>
      </c>
      <c r="I17" s="1439">
        <v>0</v>
      </c>
      <c r="J17" s="1439">
        <v>0</v>
      </c>
      <c r="K17" s="1439">
        <v>0</v>
      </c>
      <c r="L17" s="1439">
        <v>0</v>
      </c>
    </row>
    <row r="18" spans="1:12" ht="14.25">
      <c r="B18" s="1434" t="s">
        <v>791</v>
      </c>
      <c r="F18" t="s">
        <v>223</v>
      </c>
      <c r="H18" s="1436">
        <v>170.79</v>
      </c>
      <c r="I18" s="1436">
        <v>170</v>
      </c>
      <c r="J18" s="1436">
        <v>186.65</v>
      </c>
      <c r="K18" s="1436">
        <v>178.37</v>
      </c>
      <c r="L18" s="1436">
        <v>191.8</v>
      </c>
    </row>
    <row r="19" spans="1:12" ht="14.25">
      <c r="B19" s="1434" t="s">
        <v>792</v>
      </c>
      <c r="F19" t="s">
        <v>223</v>
      </c>
      <c r="H19" s="1436">
        <v>0</v>
      </c>
      <c r="I19" s="1436">
        <v>0</v>
      </c>
      <c r="J19" s="1436">
        <v>0</v>
      </c>
      <c r="K19" s="1436">
        <v>0</v>
      </c>
      <c r="L19" s="1436">
        <v>0</v>
      </c>
    </row>
    <row r="20" spans="1:12" ht="14.25">
      <c r="B20" s="1434"/>
      <c r="H20" s="1437">
        <v>0</v>
      </c>
      <c r="I20" s="1437">
        <v>0</v>
      </c>
      <c r="J20" s="1437">
        <v>0</v>
      </c>
      <c r="K20" s="1437">
        <v>0</v>
      </c>
      <c r="L20" s="1437">
        <v>0</v>
      </c>
    </row>
    <row r="21" spans="1:12" ht="14.25">
      <c r="B21" s="1434" t="s">
        <v>793</v>
      </c>
      <c r="F21" t="s">
        <v>223</v>
      </c>
      <c r="H21" s="1440">
        <v>-11.64452</v>
      </c>
      <c r="I21" s="1440">
        <v>-14.859119</v>
      </c>
      <c r="J21" s="1440">
        <v>-2.6964700000000001</v>
      </c>
      <c r="K21" s="1440">
        <v>-6.3376150000000004</v>
      </c>
      <c r="L21" s="1440">
        <v>-3.73</v>
      </c>
    </row>
    <row r="22" spans="1:12" ht="14.25">
      <c r="H22" s="1439">
        <v>0</v>
      </c>
      <c r="I22" s="1439">
        <v>0</v>
      </c>
      <c r="J22" s="1439">
        <v>0</v>
      </c>
      <c r="K22" s="1439">
        <v>0</v>
      </c>
      <c r="L22" s="1439">
        <v>0</v>
      </c>
    </row>
    <row r="23" spans="1:12" ht="14.25">
      <c r="H23" s="1439">
        <v>0</v>
      </c>
      <c r="I23" s="1439">
        <v>0</v>
      </c>
      <c r="J23" s="1439">
        <v>0</v>
      </c>
      <c r="K23" s="1439">
        <v>0</v>
      </c>
      <c r="L23" s="1439">
        <v>0</v>
      </c>
    </row>
    <row r="24" spans="1:12" ht="15">
      <c r="A24" s="1430" t="s">
        <v>794</v>
      </c>
      <c r="H24" s="1439">
        <v>0</v>
      </c>
      <c r="I24" s="1439">
        <v>0</v>
      </c>
      <c r="J24" s="1439">
        <v>0</v>
      </c>
      <c r="K24" s="1439">
        <v>0</v>
      </c>
      <c r="L24" s="1439">
        <v>0</v>
      </c>
    </row>
    <row r="25" spans="1:12" ht="14.25">
      <c r="H25" s="1439">
        <v>0</v>
      </c>
      <c r="I25" s="1439">
        <v>0</v>
      </c>
      <c r="J25" s="1439">
        <v>0</v>
      </c>
      <c r="K25" s="1439">
        <v>0</v>
      </c>
      <c r="L25" s="1439">
        <v>0</v>
      </c>
    </row>
    <row r="26" spans="1:12" ht="14.25">
      <c r="B26" s="1434" t="s">
        <v>795</v>
      </c>
      <c r="F26" t="s">
        <v>223</v>
      </c>
      <c r="H26" s="1436">
        <v>1.4999999999999999E-2</v>
      </c>
      <c r="I26" s="1436">
        <v>3.5902999999999997E-2</v>
      </c>
      <c r="J26" s="1436">
        <v>0.106396</v>
      </c>
      <c r="K26" s="1436">
        <v>0.32387500000000002</v>
      </c>
      <c r="L26" s="1436">
        <v>0.38</v>
      </c>
    </row>
    <row r="27" spans="1:12" ht="14.25">
      <c r="B27" s="1434" t="s">
        <v>796</v>
      </c>
      <c r="F27" t="s">
        <v>223</v>
      </c>
      <c r="H27" s="1436">
        <v>0</v>
      </c>
      <c r="I27" s="1436">
        <v>0</v>
      </c>
      <c r="J27" s="1436">
        <v>0</v>
      </c>
      <c r="K27" s="1436">
        <v>0</v>
      </c>
      <c r="L27" s="1436">
        <v>0</v>
      </c>
    </row>
    <row r="28" spans="1:12" ht="14.25">
      <c r="B28" s="1434" t="s">
        <v>797</v>
      </c>
      <c r="F28" t="s">
        <v>223</v>
      </c>
      <c r="H28" s="1436">
        <v>0</v>
      </c>
      <c r="I28" s="1436">
        <v>-1.5723000000000001E-2</v>
      </c>
      <c r="J28" s="1436">
        <v>-4.3936000000000003E-2</v>
      </c>
      <c r="K28" s="1436">
        <v>-6.3426999999999997E-2</v>
      </c>
      <c r="L28" s="1436">
        <v>-0.2</v>
      </c>
    </row>
    <row r="29" spans="1:12" ht="14.25">
      <c r="B29" s="1434"/>
      <c r="H29" s="1437">
        <v>0</v>
      </c>
      <c r="I29" s="1437">
        <v>0</v>
      </c>
      <c r="J29" s="1437">
        <v>0</v>
      </c>
      <c r="K29" s="1437">
        <v>0</v>
      </c>
      <c r="L29" s="1437">
        <v>0</v>
      </c>
    </row>
    <row r="30" spans="1:12" ht="14.25">
      <c r="B30" s="1434" t="s">
        <v>794</v>
      </c>
      <c r="F30" t="s">
        <v>223</v>
      </c>
      <c r="H30" s="1438">
        <v>1.4999999999999999E-2</v>
      </c>
      <c r="I30" s="1438">
        <v>5.1625999999999998E-2</v>
      </c>
      <c r="J30" s="1438">
        <v>0.15033199999999999</v>
      </c>
      <c r="K30" s="1438">
        <v>0.38730199999999998</v>
      </c>
      <c r="L30" s="1438">
        <v>0.56999999999999995</v>
      </c>
    </row>
    <row r="31" spans="1:12" ht="14.25">
      <c r="B31" s="1434"/>
      <c r="H31" s="1439">
        <v>0</v>
      </c>
      <c r="I31" s="1439">
        <v>0</v>
      </c>
      <c r="J31" s="1439">
        <v>0</v>
      </c>
      <c r="K31" s="1439">
        <v>0</v>
      </c>
      <c r="L31" s="1439">
        <v>0</v>
      </c>
    </row>
    <row r="32" spans="1:12" ht="14.25">
      <c r="B32" s="1434" t="s">
        <v>798</v>
      </c>
      <c r="F32" t="s">
        <v>223</v>
      </c>
      <c r="H32" s="1436">
        <v>0</v>
      </c>
      <c r="I32" s="1436">
        <v>0.01</v>
      </c>
      <c r="J32" s="1436">
        <v>0.09</v>
      </c>
      <c r="K32" s="1436">
        <v>0.19</v>
      </c>
      <c r="L32" s="1436">
        <v>0.6</v>
      </c>
    </row>
    <row r="33" spans="1:12" ht="14.25">
      <c r="B33" s="1434"/>
      <c r="H33" s="1439">
        <v>0</v>
      </c>
      <c r="I33" s="1439">
        <v>0</v>
      </c>
      <c r="J33" s="1439">
        <v>0</v>
      </c>
      <c r="K33" s="1439">
        <v>0</v>
      </c>
      <c r="L33" s="1439">
        <v>0</v>
      </c>
    </row>
    <row r="34" spans="1:12" ht="14.25">
      <c r="B34" s="1434" t="s">
        <v>793</v>
      </c>
      <c r="F34" t="s">
        <v>223</v>
      </c>
      <c r="H34" s="1440">
        <v>-1.4999999999999999E-2</v>
      </c>
      <c r="I34" s="1440">
        <v>-4.1626000000000003E-2</v>
      </c>
      <c r="J34" s="1440">
        <v>-6.0331999999999997E-2</v>
      </c>
      <c r="K34" s="1440">
        <v>-0.19730200000000001</v>
      </c>
      <c r="L34" s="1440">
        <v>0.03</v>
      </c>
    </row>
    <row r="35" spans="1:12" ht="14.25">
      <c r="H35" s="1439">
        <v>0</v>
      </c>
      <c r="I35" s="1439">
        <v>0</v>
      </c>
      <c r="J35" s="1439">
        <v>0</v>
      </c>
      <c r="K35" s="1439">
        <v>0</v>
      </c>
      <c r="L35" s="1439">
        <v>0</v>
      </c>
    </row>
    <row r="36" spans="1:12" ht="14.25">
      <c r="H36" s="1439">
        <v>0</v>
      </c>
      <c r="I36" s="1439">
        <v>0</v>
      </c>
      <c r="J36" s="1439">
        <v>0</v>
      </c>
      <c r="K36" s="1439">
        <v>0</v>
      </c>
      <c r="L36" s="1439">
        <v>0</v>
      </c>
    </row>
    <row r="37" spans="1:12" ht="15">
      <c r="A37" s="1430" t="s">
        <v>799</v>
      </c>
      <c r="H37" s="1441">
        <v>0</v>
      </c>
      <c r="I37" s="1441">
        <v>0</v>
      </c>
      <c r="J37" s="1441">
        <v>0</v>
      </c>
      <c r="K37" s="1441">
        <v>0</v>
      </c>
      <c r="L37" s="1441">
        <v>0</v>
      </c>
    </row>
    <row r="38" spans="1:12" ht="14.25">
      <c r="B38" s="1434" t="s">
        <v>800</v>
      </c>
      <c r="F38" t="s">
        <v>223</v>
      </c>
      <c r="H38" s="1436">
        <v>3.53</v>
      </c>
      <c r="I38" s="1436">
        <v>3.92</v>
      </c>
      <c r="J38" s="1436">
        <v>3.91</v>
      </c>
      <c r="K38" s="1436">
        <v>3.53</v>
      </c>
      <c r="L38" s="1436">
        <v>3.58</v>
      </c>
    </row>
    <row r="39" spans="1:12" ht="14.25">
      <c r="B39" s="1434" t="s">
        <v>801</v>
      </c>
      <c r="F39" t="s">
        <v>223</v>
      </c>
      <c r="H39" s="1436">
        <v>1.55399</v>
      </c>
      <c r="I39" s="1436">
        <v>1.594082</v>
      </c>
      <c r="J39" s="1442">
        <v>0</v>
      </c>
      <c r="K39" s="1442">
        <v>0</v>
      </c>
      <c r="L39" s="1442">
        <v>0</v>
      </c>
    </row>
    <row r="40" spans="1:12" ht="14.25">
      <c r="C40" s="1434"/>
      <c r="H40" s="1439">
        <v>0</v>
      </c>
      <c r="I40" s="1439">
        <v>0</v>
      </c>
      <c r="J40" s="1439">
        <v>0</v>
      </c>
      <c r="K40" s="1439">
        <v>0</v>
      </c>
      <c r="L40" s="1439">
        <v>0</v>
      </c>
    </row>
    <row r="41" spans="1:12" ht="14.25">
      <c r="H41" s="1443">
        <v>5.08399</v>
      </c>
      <c r="I41" s="1443">
        <v>5.5140820000000001</v>
      </c>
      <c r="J41" s="1443">
        <v>3.91</v>
      </c>
      <c r="K41" s="1443">
        <v>3.53</v>
      </c>
      <c r="L41" s="1443">
        <v>3.58</v>
      </c>
    </row>
    <row r="42" spans="1:12" ht="14.25">
      <c r="H42" s="1441">
        <v>0</v>
      </c>
      <c r="I42" s="1441">
        <v>0</v>
      </c>
      <c r="J42" s="1441">
        <v>0</v>
      </c>
      <c r="K42" s="1441">
        <v>0</v>
      </c>
      <c r="L42" s="1441">
        <v>0</v>
      </c>
    </row>
    <row r="43" spans="1:12" ht="14.25">
      <c r="H43" s="1441">
        <v>0</v>
      </c>
      <c r="I43" s="1441">
        <v>0</v>
      </c>
      <c r="J43" s="1441">
        <v>0</v>
      </c>
      <c r="K43" s="1441">
        <v>0</v>
      </c>
      <c r="L43" s="1441">
        <v>0</v>
      </c>
    </row>
    <row r="44" spans="1:12" ht="15">
      <c r="A44" s="1430" t="s">
        <v>802</v>
      </c>
      <c r="H44" s="1441">
        <v>0</v>
      </c>
      <c r="I44" s="1441">
        <v>0</v>
      </c>
      <c r="J44" s="1441">
        <v>0</v>
      </c>
      <c r="K44" s="1441">
        <v>0</v>
      </c>
      <c r="L44" s="1441">
        <v>0</v>
      </c>
    </row>
    <row r="45" spans="1:12" ht="15">
      <c r="A45" s="1430"/>
      <c r="B45" s="1434" t="s">
        <v>803</v>
      </c>
      <c r="F45" t="s">
        <v>223</v>
      </c>
      <c r="H45" s="1436">
        <v>35.93</v>
      </c>
      <c r="I45" s="1436">
        <v>34.619999999999997</v>
      </c>
      <c r="J45" s="1436">
        <v>39.630000000000003</v>
      </c>
      <c r="K45" s="1436">
        <v>40.92</v>
      </c>
      <c r="L45" s="1436">
        <v>28.8</v>
      </c>
    </row>
    <row r="46" spans="1:12" ht="14.25">
      <c r="B46" s="1434" t="s">
        <v>804</v>
      </c>
      <c r="F46" t="s">
        <v>223</v>
      </c>
      <c r="H46" s="1444">
        <v>5.8</v>
      </c>
      <c r="I46" s="1444">
        <v>5.23</v>
      </c>
      <c r="J46" s="1444">
        <v>5.51</v>
      </c>
      <c r="K46" s="1444">
        <v>4.92</v>
      </c>
      <c r="L46" s="1444">
        <v>5.77</v>
      </c>
    </row>
    <row r="47" spans="1:12" ht="14.25">
      <c r="B47" s="1434" t="s">
        <v>805</v>
      </c>
      <c r="F47" t="s">
        <v>223</v>
      </c>
      <c r="H47" s="1444">
        <v>7.42</v>
      </c>
      <c r="I47" s="1444">
        <v>9.09</v>
      </c>
      <c r="J47" s="1444">
        <v>10.3</v>
      </c>
      <c r="K47" s="1444">
        <v>10.86</v>
      </c>
      <c r="L47" s="1444">
        <v>15.01</v>
      </c>
    </row>
    <row r="48" spans="1:12" ht="14.25">
      <c r="H48" s="1441">
        <v>0</v>
      </c>
      <c r="I48" s="1441">
        <v>0</v>
      </c>
      <c r="J48" s="1441">
        <v>0</v>
      </c>
      <c r="K48" s="1441">
        <v>0</v>
      </c>
      <c r="L48" s="1441">
        <v>0</v>
      </c>
    </row>
    <row r="49" spans="2:13" ht="14.25">
      <c r="H49" s="1440">
        <v>49.15</v>
      </c>
      <c r="I49" s="1440">
        <v>48.94</v>
      </c>
      <c r="J49" s="1440">
        <v>55.44</v>
      </c>
      <c r="K49" s="1440">
        <v>56.7</v>
      </c>
      <c r="L49" s="1440">
        <v>49.58</v>
      </c>
    </row>
    <row r="50" spans="2:13" ht="14.25">
      <c r="H50" s="1434"/>
      <c r="I50" s="1434"/>
      <c r="J50" s="1434"/>
      <c r="K50" s="1434"/>
      <c r="L50" s="1434"/>
    </row>
    <row r="51" spans="2:13" ht="14.25">
      <c r="H51" s="1445"/>
      <c r="I51" s="1445"/>
      <c r="J51" s="1445"/>
      <c r="K51" s="1445"/>
      <c r="L51" s="1445"/>
    </row>
    <row r="52" spans="2:13" ht="14.25">
      <c r="H52" s="1434"/>
      <c r="I52" s="1434"/>
      <c r="J52" s="1434"/>
      <c r="K52" s="1434"/>
      <c r="L52" s="1434"/>
    </row>
    <row r="54" spans="2:13" ht="15">
      <c r="B54" s="1446" t="s">
        <v>806</v>
      </c>
      <c r="C54" s="1447" t="s">
        <v>807</v>
      </c>
      <c r="D54" s="1447"/>
      <c r="E54" s="1447"/>
      <c r="F54" s="1448"/>
      <c r="G54" s="1448"/>
      <c r="H54" s="1448"/>
      <c r="I54" s="1448"/>
      <c r="J54" s="1448"/>
      <c r="K54" s="1448"/>
      <c r="L54" s="1448"/>
      <c r="M54" s="1448"/>
    </row>
    <row r="55" spans="2:13" ht="30">
      <c r="B55" s="1446" t="s">
        <v>808</v>
      </c>
      <c r="C55" s="1449" t="s">
        <v>809</v>
      </c>
      <c r="D55" s="1450"/>
      <c r="E55" s="1450"/>
      <c r="F55" s="1450"/>
      <c r="G55" s="1450"/>
      <c r="H55" s="1450"/>
      <c r="I55" s="1450"/>
      <c r="J55" s="1450"/>
      <c r="K55" s="1450"/>
      <c r="L55" s="1450"/>
      <c r="M55" s="1450"/>
    </row>
    <row r="56" spans="2:13" ht="15">
      <c r="B56" s="1447" t="s">
        <v>786</v>
      </c>
      <c r="C56" s="1447"/>
      <c r="D56" s="1447"/>
      <c r="E56" s="1447"/>
      <c r="F56" s="1448"/>
      <c r="G56" s="1448"/>
      <c r="H56" s="1448"/>
      <c r="I56" s="1448"/>
      <c r="J56" s="1448"/>
      <c r="K56" s="1448"/>
      <c r="L56" s="1448"/>
      <c r="M56" s="1448"/>
    </row>
    <row r="57" spans="2:13">
      <c r="B57" s="1451" t="s">
        <v>810</v>
      </c>
      <c r="C57" s="1448"/>
      <c r="D57" s="1451" t="s">
        <v>1079</v>
      </c>
      <c r="E57" s="1451"/>
      <c r="F57" s="1451"/>
      <c r="G57" s="1451"/>
      <c r="H57" s="1448"/>
      <c r="I57" s="1448"/>
      <c r="J57" s="1448"/>
      <c r="K57" s="1448"/>
      <c r="L57" s="1448"/>
      <c r="M57" s="1448"/>
    </row>
    <row r="58" spans="2:13">
      <c r="B58" s="1448"/>
      <c r="C58" s="1448"/>
      <c r="D58" s="1448"/>
      <c r="E58" s="1448"/>
      <c r="F58" s="1448"/>
      <c r="G58" s="1448"/>
      <c r="H58" s="1448"/>
      <c r="I58" s="1448"/>
      <c r="J58" s="1452" t="s">
        <v>811</v>
      </c>
      <c r="K58" s="1452"/>
      <c r="L58" s="1448"/>
      <c r="M58" s="1448"/>
    </row>
    <row r="59" spans="2:13" ht="14.25">
      <c r="B59" s="1448"/>
      <c r="C59" s="1448"/>
      <c r="D59" s="1448"/>
      <c r="E59" s="1448"/>
      <c r="F59" s="1448"/>
      <c r="G59" s="1448"/>
      <c r="H59" s="1448"/>
      <c r="I59" s="1448"/>
      <c r="J59" s="1453" t="s">
        <v>101</v>
      </c>
      <c r="K59" s="1448"/>
      <c r="L59" s="1448"/>
      <c r="M59" s="1448"/>
    </row>
    <row r="60" spans="2:13" ht="15">
      <c r="B60" s="1452" t="s">
        <v>812</v>
      </c>
      <c r="C60" s="1452" t="s">
        <v>813</v>
      </c>
      <c r="D60" s="1452"/>
      <c r="E60" s="1452"/>
      <c r="F60" s="1452"/>
      <c r="G60" s="1452"/>
      <c r="H60" s="1448"/>
      <c r="I60" s="1448"/>
      <c r="J60" s="1448"/>
      <c r="K60" s="1447" t="s">
        <v>814</v>
      </c>
      <c r="L60" s="1447"/>
      <c r="M60" s="1447"/>
    </row>
    <row r="61" spans="2:13">
      <c r="B61" s="1451" t="s">
        <v>1080</v>
      </c>
      <c r="C61" s="1451" t="s">
        <v>815</v>
      </c>
      <c r="D61" s="1451"/>
      <c r="E61" s="1451"/>
      <c r="F61" s="1451" t="s">
        <v>223</v>
      </c>
      <c r="G61" s="1448"/>
      <c r="H61" s="1448"/>
      <c r="I61" s="1448"/>
      <c r="J61" s="1454">
        <v>157.73041526582301</v>
      </c>
      <c r="K61" s="1451" t="s">
        <v>816</v>
      </c>
      <c r="L61" s="1448"/>
      <c r="M61" s="1448"/>
    </row>
    <row r="62" spans="2:13">
      <c r="B62" s="1451" t="s">
        <v>1081</v>
      </c>
      <c r="C62" s="1451" t="s">
        <v>817</v>
      </c>
      <c r="D62" s="1451"/>
      <c r="E62" s="1448"/>
      <c r="F62" s="1448"/>
      <c r="G62" s="1448"/>
      <c r="H62" s="1448"/>
      <c r="I62" s="1448"/>
      <c r="J62" s="1454">
        <v>1.0639597599999999</v>
      </c>
      <c r="K62" s="1451" t="s">
        <v>818</v>
      </c>
      <c r="L62" s="1448"/>
      <c r="M62" s="1448"/>
    </row>
    <row r="63" spans="2:13">
      <c r="B63" s="1451" t="s">
        <v>1082</v>
      </c>
      <c r="C63" s="1451" t="s">
        <v>819</v>
      </c>
      <c r="D63" s="1451"/>
      <c r="E63" s="1448"/>
      <c r="F63" s="1451" t="s">
        <v>223</v>
      </c>
      <c r="G63" s="1448"/>
      <c r="H63" s="1448"/>
      <c r="I63" s="1448"/>
      <c r="J63" s="1454">
        <v>0</v>
      </c>
      <c r="K63" s="1451" t="s">
        <v>820</v>
      </c>
      <c r="L63" s="1448"/>
      <c r="M63" s="1448"/>
    </row>
    <row r="64" spans="2:13">
      <c r="B64" s="1448"/>
      <c r="C64" s="1448"/>
      <c r="D64" s="1448"/>
      <c r="E64" s="1448"/>
      <c r="F64" s="1448"/>
      <c r="G64" s="1448"/>
      <c r="H64" s="1448"/>
      <c r="I64" s="1448"/>
      <c r="J64" s="1448"/>
      <c r="K64" s="1448"/>
      <c r="L64" s="1448"/>
      <c r="M64" s="1448"/>
    </row>
    <row r="65" spans="2:13">
      <c r="K65" s="1448"/>
      <c r="L65" s="1448"/>
      <c r="M65" s="1448"/>
    </row>
    <row r="66" spans="2:13">
      <c r="B66" s="1448"/>
      <c r="C66" s="1448"/>
      <c r="D66" s="1448"/>
      <c r="E66" s="1448"/>
      <c r="F66" s="1448"/>
      <c r="G66" s="1448"/>
      <c r="H66" s="1448"/>
      <c r="I66" s="1448"/>
      <c r="J66" s="1448"/>
      <c r="K66" s="1448"/>
      <c r="L66" s="1448"/>
      <c r="M66" s="1448"/>
    </row>
  </sheetData>
  <phoneticPr fontId="1"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C5FFFF"/>
    <pageSetUpPr fitToPage="1"/>
  </sheetPr>
  <dimension ref="A14:I163"/>
  <sheetViews>
    <sheetView showGridLines="0" topLeftCell="A88" workbookViewId="0">
      <selection activeCell="D8" sqref="A6:D8"/>
    </sheetView>
  </sheetViews>
  <sheetFormatPr defaultColWidth="11.42578125" defaultRowHeight="12.75"/>
  <sheetData>
    <row r="14" spans="1:9">
      <c r="A14" s="1455" t="s">
        <v>1083</v>
      </c>
      <c r="B14" s="1456"/>
      <c r="C14" s="1456"/>
      <c r="D14" s="1456"/>
      <c r="E14" s="1456"/>
      <c r="F14" s="1456"/>
      <c r="G14" s="1456"/>
      <c r="H14" s="1456"/>
      <c r="I14" s="1456"/>
    </row>
    <row r="16" spans="1:9" ht="63.75">
      <c r="A16" s="1457"/>
      <c r="B16" s="1458"/>
      <c r="C16" s="1459" t="s">
        <v>97</v>
      </c>
      <c r="D16" s="1460" t="s">
        <v>210</v>
      </c>
      <c r="E16" s="1461" t="s">
        <v>821</v>
      </c>
      <c r="F16" s="1461"/>
      <c r="G16" s="1461" t="s">
        <v>822</v>
      </c>
      <c r="H16" s="1461" t="s">
        <v>823</v>
      </c>
      <c r="I16" s="1461" t="s">
        <v>824</v>
      </c>
    </row>
    <row r="17" spans="1:9" ht="114.75">
      <c r="A17" s="1462"/>
      <c r="B17" s="1463"/>
      <c r="C17" s="1464"/>
      <c r="D17" s="1462"/>
      <c r="E17" s="1465" t="s">
        <v>825</v>
      </c>
      <c r="F17" s="1465" t="s">
        <v>826</v>
      </c>
      <c r="G17" s="1465" t="s">
        <v>827</v>
      </c>
      <c r="H17" s="1465" t="s">
        <v>828</v>
      </c>
      <c r="I17" s="1466" t="s">
        <v>829</v>
      </c>
    </row>
    <row r="18" spans="1:9">
      <c r="A18" s="1462" t="s">
        <v>109</v>
      </c>
      <c r="B18" s="1463"/>
      <c r="C18" s="1464"/>
      <c r="D18" s="1462"/>
      <c r="E18" s="1462"/>
      <c r="F18" s="1464"/>
      <c r="G18" s="1464"/>
      <c r="H18" s="1464"/>
      <c r="I18" s="1464"/>
    </row>
    <row r="19" spans="1:9">
      <c r="A19" s="1467"/>
      <c r="B19" s="1468" t="s">
        <v>454</v>
      </c>
      <c r="C19" s="1469"/>
      <c r="D19" s="1467"/>
      <c r="E19" s="1467"/>
      <c r="F19" s="1469"/>
      <c r="G19" s="1469"/>
      <c r="H19" s="1469"/>
      <c r="I19" s="1469"/>
    </row>
    <row r="20" spans="1:9">
      <c r="A20" s="1467"/>
      <c r="B20" s="1468"/>
      <c r="C20" s="1469" t="s">
        <v>111</v>
      </c>
      <c r="D20" s="1467" t="s">
        <v>541</v>
      </c>
      <c r="E20" s="1470">
        <v>28.282769999999996</v>
      </c>
      <c r="F20" s="1471" t="s">
        <v>830</v>
      </c>
      <c r="G20" s="1471">
        <v>28.282769999999996</v>
      </c>
      <c r="H20" s="1469">
        <v>2564.6932808762817</v>
      </c>
      <c r="I20" s="1469">
        <v>72536.630183569257</v>
      </c>
    </row>
    <row r="21" spans="1:9">
      <c r="A21" s="1467"/>
      <c r="B21" s="1468"/>
      <c r="C21" s="1469" t="s">
        <v>112</v>
      </c>
      <c r="D21" s="1467" t="s">
        <v>542</v>
      </c>
      <c r="E21" s="1470">
        <v>1.0158699999999998</v>
      </c>
      <c r="F21" s="1471" t="s">
        <v>830</v>
      </c>
      <c r="G21" s="1471">
        <v>1.0158699999999998</v>
      </c>
      <c r="H21" s="1469">
        <v>154443.4835</v>
      </c>
      <c r="I21" s="1469">
        <v>156894.50158314497</v>
      </c>
    </row>
    <row r="22" spans="1:9">
      <c r="A22" s="1467"/>
      <c r="B22" s="1468"/>
      <c r="C22" s="1469"/>
      <c r="D22" s="1467"/>
      <c r="E22" s="1470" t="s">
        <v>1016</v>
      </c>
      <c r="F22" s="1471"/>
      <c r="G22" s="1471">
        <v>0</v>
      </c>
      <c r="H22" s="1469" t="s">
        <v>67</v>
      </c>
      <c r="I22" s="1469" t="s">
        <v>67</v>
      </c>
    </row>
    <row r="23" spans="1:9">
      <c r="A23" s="1467"/>
      <c r="B23" s="1468" t="s">
        <v>113</v>
      </c>
      <c r="C23" s="1469"/>
      <c r="D23" s="1467"/>
      <c r="E23" s="1470" t="s">
        <v>1016</v>
      </c>
      <c r="F23" s="1471"/>
      <c r="G23" s="1471">
        <v>0</v>
      </c>
      <c r="H23" s="1469" t="s">
        <v>67</v>
      </c>
      <c r="I23" s="1469" t="s">
        <v>67</v>
      </c>
    </row>
    <row r="24" spans="1:9">
      <c r="A24" s="1467"/>
      <c r="B24" s="1468"/>
      <c r="C24" s="1469" t="s">
        <v>114</v>
      </c>
      <c r="D24" s="1467" t="s">
        <v>542</v>
      </c>
      <c r="E24" s="1470">
        <v>2.2599999999999998</v>
      </c>
      <c r="F24" s="1471" t="s">
        <v>830</v>
      </c>
      <c r="G24" s="1471">
        <v>2.2599999999999998</v>
      </c>
      <c r="H24" s="1469">
        <v>73881</v>
      </c>
      <c r="I24" s="1469">
        <v>166971.06</v>
      </c>
    </row>
    <row r="25" spans="1:9">
      <c r="A25" s="1467"/>
      <c r="B25" s="1468"/>
      <c r="C25" s="1469"/>
      <c r="D25" s="1467"/>
      <c r="E25" s="1470" t="s">
        <v>1016</v>
      </c>
      <c r="F25" s="1471"/>
      <c r="G25" s="1471">
        <v>0</v>
      </c>
      <c r="H25" s="1469" t="s">
        <v>67</v>
      </c>
      <c r="I25" s="1469" t="s">
        <v>67</v>
      </c>
    </row>
    <row r="26" spans="1:9">
      <c r="A26" s="1467"/>
      <c r="B26" s="1468" t="s">
        <v>115</v>
      </c>
      <c r="C26" s="1469"/>
      <c r="D26" s="1467"/>
      <c r="E26" s="1470" t="s">
        <v>1016</v>
      </c>
      <c r="F26" s="1471"/>
      <c r="G26" s="1471">
        <v>0</v>
      </c>
      <c r="H26" s="1469" t="s">
        <v>67</v>
      </c>
      <c r="I26" s="1469" t="s">
        <v>67</v>
      </c>
    </row>
    <row r="27" spans="1:9">
      <c r="A27" s="1467"/>
      <c r="B27" s="1468"/>
      <c r="C27" s="1469" t="s">
        <v>116</v>
      </c>
      <c r="D27" s="1467" t="s">
        <v>541</v>
      </c>
      <c r="E27" s="1470">
        <v>0</v>
      </c>
      <c r="F27" s="1471" t="s">
        <v>830</v>
      </c>
      <c r="G27" s="1471">
        <v>0</v>
      </c>
      <c r="H27" s="1469">
        <v>2215.6937900145213</v>
      </c>
      <c r="I27" s="1469">
        <v>0</v>
      </c>
    </row>
    <row r="28" spans="1:9">
      <c r="A28" s="1467"/>
      <c r="B28" s="1468"/>
      <c r="C28" s="1469" t="s">
        <v>117</v>
      </c>
      <c r="D28" s="1467" t="s">
        <v>541</v>
      </c>
      <c r="E28" s="1470">
        <v>159.24185999999997</v>
      </c>
      <c r="F28" s="1471" t="s">
        <v>830</v>
      </c>
      <c r="G28" s="1471">
        <v>159.24185999999997</v>
      </c>
      <c r="H28" s="1469">
        <v>3922.5113724006656</v>
      </c>
      <c r="I28" s="1469">
        <v>624628.00681223453</v>
      </c>
    </row>
    <row r="29" spans="1:9">
      <c r="A29" s="1467"/>
      <c r="B29" s="1468"/>
      <c r="C29" s="1469" t="s">
        <v>118</v>
      </c>
      <c r="D29" s="1467" t="s">
        <v>541</v>
      </c>
      <c r="E29" s="1470">
        <v>0</v>
      </c>
      <c r="F29" s="1471" t="s">
        <v>830</v>
      </c>
      <c r="G29" s="1471">
        <v>0</v>
      </c>
      <c r="H29" s="1469">
        <v>9943.389729985478</v>
      </c>
      <c r="I29" s="1469">
        <v>0</v>
      </c>
    </row>
    <row r="30" spans="1:9">
      <c r="A30" s="1467"/>
      <c r="B30" s="1468"/>
      <c r="C30" s="1469" t="s">
        <v>119</v>
      </c>
      <c r="D30" s="1467" t="s">
        <v>542</v>
      </c>
      <c r="E30" s="1470">
        <v>1.5729599999999997</v>
      </c>
      <c r="F30" s="1471" t="s">
        <v>830</v>
      </c>
      <c r="G30" s="1471">
        <v>1.5729599999999997</v>
      </c>
      <c r="H30" s="1469">
        <v>1426435.6500000001</v>
      </c>
      <c r="I30" s="1469">
        <v>2243726.2200239999</v>
      </c>
    </row>
    <row r="31" spans="1:9">
      <c r="A31" s="1467"/>
      <c r="B31" s="1468"/>
      <c r="C31" s="1469"/>
      <c r="D31" s="1467"/>
      <c r="E31" s="1470" t="s">
        <v>1016</v>
      </c>
      <c r="F31" s="1471"/>
      <c r="G31" s="1471">
        <v>0</v>
      </c>
      <c r="H31" s="1469" t="s">
        <v>67</v>
      </c>
      <c r="I31" s="1469" t="s">
        <v>67</v>
      </c>
    </row>
    <row r="32" spans="1:9">
      <c r="A32" s="1467"/>
      <c r="B32" s="1468" t="s">
        <v>120</v>
      </c>
      <c r="C32" s="1469"/>
      <c r="D32" s="1467"/>
      <c r="E32" s="1470" t="s">
        <v>1016</v>
      </c>
      <c r="F32" s="1471"/>
      <c r="G32" s="1471">
        <v>0</v>
      </c>
      <c r="H32" s="1469" t="s">
        <v>67</v>
      </c>
      <c r="I32" s="1469" t="s">
        <v>67</v>
      </c>
    </row>
    <row r="33" spans="1:9">
      <c r="A33" s="1467"/>
      <c r="B33" s="1468"/>
      <c r="C33" s="1469" t="s">
        <v>121</v>
      </c>
      <c r="D33" s="1467" t="s">
        <v>542</v>
      </c>
      <c r="E33" s="1470">
        <v>9.3789999999999996</v>
      </c>
      <c r="F33" s="1471" t="s">
        <v>830</v>
      </c>
      <c r="G33" s="1471">
        <v>9.3789999999999996</v>
      </c>
      <c r="H33" s="1469">
        <v>1581</v>
      </c>
      <c r="I33" s="1469">
        <v>14828.198999999999</v>
      </c>
    </row>
    <row r="34" spans="1:9">
      <c r="A34" s="1467"/>
      <c r="B34" s="1468"/>
      <c r="C34" s="1469" t="s">
        <v>122</v>
      </c>
      <c r="D34" s="1467" t="s">
        <v>542</v>
      </c>
      <c r="E34" s="1470">
        <v>9.7179999999999982</v>
      </c>
      <c r="F34" s="1471" t="s">
        <v>830</v>
      </c>
      <c r="G34" s="1471">
        <v>9.7179999999999982</v>
      </c>
      <c r="H34" s="1469">
        <v>2359</v>
      </c>
      <c r="I34" s="1469">
        <v>22924.761999999995</v>
      </c>
    </row>
    <row r="35" spans="1:9">
      <c r="A35" s="1467"/>
      <c r="B35" s="1468"/>
      <c r="C35" s="1469" t="s">
        <v>123</v>
      </c>
      <c r="D35" s="1467" t="s">
        <v>542</v>
      </c>
      <c r="E35" s="1470">
        <v>11.977999999999998</v>
      </c>
      <c r="F35" s="1471" t="s">
        <v>830</v>
      </c>
      <c r="G35" s="1471">
        <v>11.977999999999998</v>
      </c>
      <c r="H35" s="1469">
        <v>5832</v>
      </c>
      <c r="I35" s="1469">
        <v>69855.695999999982</v>
      </c>
    </row>
    <row r="36" spans="1:9">
      <c r="A36" s="1467"/>
      <c r="B36" s="1468"/>
      <c r="C36" s="1469" t="s">
        <v>124</v>
      </c>
      <c r="D36" s="1467" t="s">
        <v>542</v>
      </c>
      <c r="E36" s="1470">
        <v>5.243199999999999</v>
      </c>
      <c r="F36" s="1471" t="s">
        <v>830</v>
      </c>
      <c r="G36" s="1471">
        <v>5.243199999999999</v>
      </c>
      <c r="H36" s="1469">
        <v>9447</v>
      </c>
      <c r="I36" s="1469">
        <v>49532.510399999992</v>
      </c>
    </row>
    <row r="37" spans="1:9">
      <c r="A37" s="1467"/>
      <c r="B37" s="1468"/>
      <c r="C37" s="1469" t="s">
        <v>125</v>
      </c>
      <c r="D37" s="1467" t="s">
        <v>542</v>
      </c>
      <c r="E37" s="1470" t="s">
        <v>1016</v>
      </c>
      <c r="F37" s="1471" t="s">
        <v>830</v>
      </c>
      <c r="G37" s="1471" t="s">
        <v>830</v>
      </c>
      <c r="H37" s="1469">
        <v>16239</v>
      </c>
      <c r="I37" s="1469" t="s">
        <v>67</v>
      </c>
    </row>
    <row r="38" spans="1:9">
      <c r="A38" s="1467"/>
      <c r="B38" s="1468"/>
      <c r="C38" s="1469" t="s">
        <v>126</v>
      </c>
      <c r="D38" s="1467" t="s">
        <v>542</v>
      </c>
      <c r="E38" s="1470" t="s">
        <v>1016</v>
      </c>
      <c r="F38" s="1471" t="s">
        <v>830</v>
      </c>
      <c r="G38" s="1471" t="s">
        <v>67</v>
      </c>
      <c r="H38" s="1469">
        <v>0</v>
      </c>
      <c r="I38" s="1469" t="s">
        <v>67</v>
      </c>
    </row>
    <row r="39" spans="1:9">
      <c r="A39" s="1467"/>
      <c r="B39" s="1468"/>
      <c r="C39" s="1469"/>
      <c r="D39" s="1467"/>
      <c r="E39" s="1470" t="s">
        <v>1016</v>
      </c>
      <c r="F39" s="1471"/>
      <c r="G39" s="1471">
        <v>0</v>
      </c>
      <c r="H39" s="1469" t="s">
        <v>67</v>
      </c>
      <c r="I39" s="1469" t="s">
        <v>67</v>
      </c>
    </row>
    <row r="40" spans="1:9">
      <c r="A40" s="1467" t="s">
        <v>127</v>
      </c>
      <c r="B40" s="1468"/>
      <c r="C40" s="1469"/>
      <c r="D40" s="1467"/>
      <c r="E40" s="1470" t="s">
        <v>1016</v>
      </c>
      <c r="F40" s="1471"/>
      <c r="G40" s="1471">
        <v>0</v>
      </c>
      <c r="H40" s="1469" t="s">
        <v>67</v>
      </c>
      <c r="I40" s="1469" t="s">
        <v>67</v>
      </c>
    </row>
    <row r="41" spans="1:9">
      <c r="A41" s="1467"/>
      <c r="B41" s="1468" t="s">
        <v>454</v>
      </c>
      <c r="C41" s="1469"/>
      <c r="D41" s="1467"/>
      <c r="E41" s="1470" t="s">
        <v>1016</v>
      </c>
      <c r="F41" s="1471"/>
      <c r="G41" s="1471">
        <v>0</v>
      </c>
      <c r="H41" s="1469" t="s">
        <v>67</v>
      </c>
      <c r="I41" s="1469" t="s">
        <v>67</v>
      </c>
    </row>
    <row r="42" spans="1:9">
      <c r="A42" s="1467"/>
      <c r="B42" s="1468"/>
      <c r="C42" s="1469" t="s">
        <v>128</v>
      </c>
      <c r="D42" s="1467" t="s">
        <v>541</v>
      </c>
      <c r="E42" s="1470">
        <v>35.255999999999993</v>
      </c>
      <c r="F42" s="1471" t="s">
        <v>830</v>
      </c>
      <c r="G42" s="1471">
        <v>35.255999999999993</v>
      </c>
      <c r="H42" s="1469">
        <v>5256.3909715199998</v>
      </c>
      <c r="I42" s="1469">
        <v>185319.32009190909</v>
      </c>
    </row>
    <row r="43" spans="1:9">
      <c r="A43" s="1467"/>
      <c r="B43" s="1468"/>
      <c r="C43" s="1469" t="s">
        <v>129</v>
      </c>
      <c r="D43" s="1467" t="s">
        <v>541</v>
      </c>
      <c r="E43" s="1470">
        <v>0</v>
      </c>
      <c r="F43" s="1471" t="s">
        <v>830</v>
      </c>
      <c r="G43" s="1471">
        <v>0</v>
      </c>
      <c r="H43" s="1469">
        <v>7.4320000000000004</v>
      </c>
      <c r="I43" s="1469">
        <v>0</v>
      </c>
    </row>
    <row r="44" spans="1:9">
      <c r="A44" s="1467"/>
      <c r="B44" s="1468"/>
      <c r="C44" s="1469" t="s">
        <v>130</v>
      </c>
      <c r="D44" s="1467" t="s">
        <v>541</v>
      </c>
      <c r="E44" s="1470">
        <v>35.594999999999999</v>
      </c>
      <c r="F44" s="1471" t="s">
        <v>830</v>
      </c>
      <c r="G44" s="1471">
        <v>35.594999999999999</v>
      </c>
      <c r="H44" s="1469">
        <v>5087</v>
      </c>
      <c r="I44" s="1469">
        <v>181071.76499999998</v>
      </c>
    </row>
    <row r="45" spans="1:9">
      <c r="A45" s="1467"/>
      <c r="B45" s="1468"/>
      <c r="C45" s="1469" t="s">
        <v>131</v>
      </c>
      <c r="D45" s="1467" t="s">
        <v>541</v>
      </c>
      <c r="E45" s="1470">
        <v>0</v>
      </c>
      <c r="F45" s="1471" t="s">
        <v>830</v>
      </c>
      <c r="G45" s="1471">
        <v>0</v>
      </c>
      <c r="H45" s="1469">
        <v>8.4</v>
      </c>
      <c r="I45" s="1469">
        <v>0</v>
      </c>
    </row>
    <row r="46" spans="1:9">
      <c r="A46" s="1467"/>
      <c r="B46" s="1468"/>
      <c r="C46" s="1469"/>
      <c r="D46" s="1467"/>
      <c r="E46" s="1470" t="s">
        <v>1016</v>
      </c>
      <c r="F46" s="1471"/>
      <c r="G46" s="1471">
        <v>0</v>
      </c>
      <c r="H46" s="1469" t="s">
        <v>67</v>
      </c>
      <c r="I46" s="1469" t="s">
        <v>67</v>
      </c>
    </row>
    <row r="47" spans="1:9">
      <c r="A47" s="1467"/>
      <c r="B47" s="1468" t="s">
        <v>113</v>
      </c>
      <c r="C47" s="1469"/>
      <c r="D47" s="1467"/>
      <c r="E47" s="1470" t="s">
        <v>1016</v>
      </c>
      <c r="F47" s="1471"/>
      <c r="G47" s="1471">
        <v>0</v>
      </c>
      <c r="H47" s="1469" t="s">
        <v>67</v>
      </c>
      <c r="I47" s="1469" t="s">
        <v>67</v>
      </c>
    </row>
    <row r="48" spans="1:9">
      <c r="A48" s="1467"/>
      <c r="B48" s="1468"/>
      <c r="C48" s="1469" t="s">
        <v>132</v>
      </c>
      <c r="D48" s="1467" t="s">
        <v>542</v>
      </c>
      <c r="E48" s="1470">
        <v>2.2639041499999997</v>
      </c>
      <c r="F48" s="1471" t="s">
        <v>830</v>
      </c>
      <c r="G48" s="1471">
        <v>2.2639041499999997</v>
      </c>
      <c r="H48" s="1469">
        <v>63676</v>
      </c>
      <c r="I48" s="1469">
        <v>144156.36065539997</v>
      </c>
    </row>
    <row r="49" spans="1:9">
      <c r="A49" s="1467"/>
      <c r="B49" s="1468"/>
      <c r="C49" s="1469" t="s">
        <v>133</v>
      </c>
      <c r="D49" s="1467" t="s">
        <v>542</v>
      </c>
      <c r="E49" s="1470">
        <v>2.2639041499999997</v>
      </c>
      <c r="F49" s="1471" t="s">
        <v>830</v>
      </c>
      <c r="G49" s="1471">
        <v>2.2639041499999997</v>
      </c>
      <c r="H49" s="1469">
        <v>64455</v>
      </c>
      <c r="I49" s="1469">
        <v>145919.94198824998</v>
      </c>
    </row>
    <row r="50" spans="1:9">
      <c r="A50" s="1467"/>
      <c r="B50" s="1468"/>
      <c r="C50" s="1469"/>
      <c r="D50" s="1467"/>
      <c r="E50" s="1470" t="s">
        <v>1016</v>
      </c>
      <c r="F50" s="1471" t="s">
        <v>830</v>
      </c>
      <c r="G50" s="1471" t="s">
        <v>830</v>
      </c>
      <c r="H50" s="1469" t="s">
        <v>67</v>
      </c>
      <c r="I50" s="1469" t="s">
        <v>67</v>
      </c>
    </row>
    <row r="51" spans="1:9">
      <c r="A51" s="1467"/>
      <c r="B51" s="1468" t="s">
        <v>134</v>
      </c>
      <c r="C51" s="1469"/>
      <c r="D51" s="1467"/>
      <c r="E51" s="1470" t="s">
        <v>1016</v>
      </c>
      <c r="F51" s="1471"/>
      <c r="G51" s="1471">
        <v>0</v>
      </c>
      <c r="H51" s="1469" t="s">
        <v>67</v>
      </c>
      <c r="I51" s="1469" t="s">
        <v>67</v>
      </c>
    </row>
    <row r="52" spans="1:9">
      <c r="A52" s="1467"/>
      <c r="B52" s="1468"/>
      <c r="C52" s="1469" t="s">
        <v>135</v>
      </c>
      <c r="D52" s="1467" t="s">
        <v>541</v>
      </c>
      <c r="E52" s="1470">
        <v>83.055000000000007</v>
      </c>
      <c r="F52" s="1471" t="s">
        <v>830</v>
      </c>
      <c r="G52" s="1471">
        <v>83.055000000000007</v>
      </c>
      <c r="H52" s="1469">
        <v>6717.7341742693161</v>
      </c>
      <c r="I52" s="1469">
        <v>557941.41184393805</v>
      </c>
    </row>
    <row r="53" spans="1:9">
      <c r="A53" s="1467"/>
      <c r="B53" s="1468"/>
      <c r="C53" s="1469" t="s">
        <v>136</v>
      </c>
      <c r="D53" s="1467" t="s">
        <v>541</v>
      </c>
      <c r="E53" s="1470">
        <v>83.055000000000007</v>
      </c>
      <c r="F53" s="1471" t="s">
        <v>830</v>
      </c>
      <c r="G53" s="1471">
        <v>83.055000000000007</v>
      </c>
      <c r="H53" s="1469">
        <v>1533.6935269704331</v>
      </c>
      <c r="I53" s="1469">
        <v>127380.91588252934</v>
      </c>
    </row>
    <row r="54" spans="1:9">
      <c r="A54" s="1467"/>
      <c r="B54" s="1468"/>
      <c r="C54" s="1469"/>
      <c r="D54" s="1467"/>
      <c r="E54" s="1470" t="s">
        <v>1016</v>
      </c>
      <c r="F54" s="1471"/>
      <c r="G54" s="1471">
        <v>0</v>
      </c>
      <c r="H54" s="1469" t="s">
        <v>67</v>
      </c>
      <c r="I54" s="1469" t="s">
        <v>67</v>
      </c>
    </row>
    <row r="55" spans="1:9">
      <c r="A55" s="1467"/>
      <c r="B55" s="1468" t="s">
        <v>137</v>
      </c>
      <c r="C55" s="1469"/>
      <c r="D55" s="1467"/>
      <c r="E55" s="1470" t="s">
        <v>1016</v>
      </c>
      <c r="F55" s="1471"/>
      <c r="G55" s="1471">
        <v>0</v>
      </c>
      <c r="H55" s="1469" t="s">
        <v>67</v>
      </c>
      <c r="I55" s="1469" t="s">
        <v>67</v>
      </c>
    </row>
    <row r="56" spans="1:9">
      <c r="A56" s="1467"/>
      <c r="B56" s="1468"/>
      <c r="C56" s="1469" t="s">
        <v>138</v>
      </c>
      <c r="D56" s="1467" t="s">
        <v>541</v>
      </c>
      <c r="E56" s="1470">
        <v>0</v>
      </c>
      <c r="F56" s="1471" t="s">
        <v>830</v>
      </c>
      <c r="G56" s="1471">
        <v>0</v>
      </c>
      <c r="H56" s="1469">
        <v>0</v>
      </c>
      <c r="I56" s="1469">
        <v>0</v>
      </c>
    </row>
    <row r="57" spans="1:9">
      <c r="A57" s="1467"/>
      <c r="B57" s="1468"/>
      <c r="C57" s="1469"/>
      <c r="D57" s="1467"/>
      <c r="E57" s="1470" t="s">
        <v>1016</v>
      </c>
      <c r="F57" s="1471" t="s">
        <v>830</v>
      </c>
      <c r="G57" s="1471" t="s">
        <v>830</v>
      </c>
      <c r="H57" s="1469" t="s">
        <v>67</v>
      </c>
      <c r="I57" s="1469" t="s">
        <v>67</v>
      </c>
    </row>
    <row r="58" spans="1:9">
      <c r="A58" s="1467"/>
      <c r="B58" s="1468" t="s">
        <v>120</v>
      </c>
      <c r="C58" s="1469"/>
      <c r="D58" s="1467"/>
      <c r="E58" s="1470" t="s">
        <v>1016</v>
      </c>
      <c r="F58" s="1471"/>
      <c r="G58" s="1471">
        <v>0</v>
      </c>
      <c r="H58" s="1469" t="s">
        <v>67</v>
      </c>
      <c r="I58" s="1469" t="s">
        <v>67</v>
      </c>
    </row>
    <row r="59" spans="1:9">
      <c r="A59" s="1467"/>
      <c r="B59" s="1468"/>
      <c r="C59" s="1469" t="s">
        <v>139</v>
      </c>
      <c r="D59" s="1467" t="s">
        <v>542</v>
      </c>
      <c r="E59" s="1470">
        <v>9.4784399999999991</v>
      </c>
      <c r="F59" s="1471" t="s">
        <v>830</v>
      </c>
      <c r="G59" s="1471">
        <v>9.4784399999999991</v>
      </c>
      <c r="H59" s="1469">
        <v>564</v>
      </c>
      <c r="I59" s="1469">
        <v>5345.8401599999997</v>
      </c>
    </row>
    <row r="60" spans="1:9">
      <c r="A60" s="1467"/>
      <c r="B60" s="1468"/>
      <c r="C60" s="1469" t="s">
        <v>140</v>
      </c>
      <c r="D60" s="1467" t="s">
        <v>542</v>
      </c>
      <c r="E60" s="1470">
        <v>12.459831999999997</v>
      </c>
      <c r="F60" s="1471" t="s">
        <v>830</v>
      </c>
      <c r="G60" s="1471">
        <v>12.459831999999997</v>
      </c>
      <c r="H60" s="1469">
        <v>6731</v>
      </c>
      <c r="I60" s="1469">
        <v>83867.129191999979</v>
      </c>
    </row>
    <row r="61" spans="1:9">
      <c r="A61" s="1467"/>
      <c r="B61" s="1468"/>
      <c r="C61" s="1469" t="s">
        <v>141</v>
      </c>
      <c r="D61" s="1467" t="s">
        <v>542</v>
      </c>
      <c r="E61" s="1470">
        <v>0</v>
      </c>
      <c r="F61" s="1471" t="s">
        <v>830</v>
      </c>
      <c r="G61" s="1471">
        <v>0</v>
      </c>
      <c r="H61" s="1469">
        <v>53</v>
      </c>
      <c r="I61" s="1469">
        <v>0</v>
      </c>
    </row>
    <row r="62" spans="1:9">
      <c r="A62" s="1467"/>
      <c r="B62" s="1468"/>
      <c r="C62" s="1469" t="s">
        <v>142</v>
      </c>
      <c r="D62" s="1467" t="s">
        <v>542</v>
      </c>
      <c r="E62" s="1470">
        <v>10.17</v>
      </c>
      <c r="F62" s="1471" t="s">
        <v>830</v>
      </c>
      <c r="G62" s="1471">
        <v>10.17</v>
      </c>
      <c r="H62" s="1469">
        <v>4367</v>
      </c>
      <c r="I62" s="1469">
        <v>44412.39</v>
      </c>
    </row>
    <row r="63" spans="1:9">
      <c r="A63" s="1467"/>
      <c r="B63" s="1468"/>
      <c r="C63" s="1469" t="s">
        <v>143</v>
      </c>
      <c r="D63" s="1467" t="s">
        <v>542</v>
      </c>
      <c r="E63" s="1470">
        <v>15.255000000000001</v>
      </c>
      <c r="F63" s="1471" t="s">
        <v>830</v>
      </c>
      <c r="G63" s="1471">
        <v>15.255000000000001</v>
      </c>
      <c r="H63" s="1469">
        <v>5707</v>
      </c>
      <c r="I63" s="1469">
        <v>87060.285000000003</v>
      </c>
    </row>
    <row r="64" spans="1:9">
      <c r="A64" s="1467"/>
      <c r="B64" s="1468"/>
      <c r="C64" s="1469" t="s">
        <v>144</v>
      </c>
      <c r="D64" s="1467" t="s">
        <v>542</v>
      </c>
      <c r="E64" s="1470" t="s">
        <v>1016</v>
      </c>
      <c r="F64" s="1471" t="s">
        <v>830</v>
      </c>
      <c r="G64" s="1471" t="s">
        <v>830</v>
      </c>
      <c r="H64" s="1469">
        <v>6942</v>
      </c>
      <c r="I64" s="1469" t="s">
        <v>67</v>
      </c>
    </row>
    <row r="65" spans="1:9">
      <c r="A65" s="1467"/>
      <c r="B65" s="1468"/>
      <c r="C65" s="1469" t="s">
        <v>145</v>
      </c>
      <c r="D65" s="1467" t="s">
        <v>542</v>
      </c>
      <c r="E65" s="1470" t="s">
        <v>1016</v>
      </c>
      <c r="F65" s="1471" t="s">
        <v>830</v>
      </c>
      <c r="G65" s="1471" t="s">
        <v>67</v>
      </c>
      <c r="H65" s="1469">
        <v>0</v>
      </c>
      <c r="I65" s="1469" t="s">
        <v>67</v>
      </c>
    </row>
    <row r="66" spans="1:9">
      <c r="A66" s="1467"/>
      <c r="B66" s="1468"/>
      <c r="C66" s="1469" t="s">
        <v>146</v>
      </c>
      <c r="D66" s="1467" t="s">
        <v>542</v>
      </c>
      <c r="E66" s="1470">
        <v>9.4784399999999991</v>
      </c>
      <c r="F66" s="1471" t="s">
        <v>830</v>
      </c>
      <c r="G66" s="1471">
        <v>9.4784399999999991</v>
      </c>
      <c r="H66" s="1469">
        <v>517</v>
      </c>
      <c r="I66" s="1469">
        <v>4900.3534799999998</v>
      </c>
    </row>
    <row r="67" spans="1:9">
      <c r="A67" s="1467"/>
      <c r="B67" s="1468"/>
      <c r="C67" s="1469" t="s">
        <v>147</v>
      </c>
      <c r="D67" s="1467" t="s">
        <v>542</v>
      </c>
      <c r="E67" s="1470">
        <v>13.56</v>
      </c>
      <c r="F67" s="1471" t="s">
        <v>830</v>
      </c>
      <c r="G67" s="1471">
        <v>13.56</v>
      </c>
      <c r="H67" s="1469">
        <v>1241</v>
      </c>
      <c r="I67" s="1469">
        <v>16827.96</v>
      </c>
    </row>
    <row r="68" spans="1:9">
      <c r="A68" s="1467"/>
      <c r="B68" s="1468"/>
      <c r="C68" s="1469" t="s">
        <v>148</v>
      </c>
      <c r="D68" s="1467" t="s">
        <v>542</v>
      </c>
      <c r="E68" s="1470">
        <v>0</v>
      </c>
      <c r="F68" s="1471" t="s">
        <v>830</v>
      </c>
      <c r="G68" s="1471">
        <v>0</v>
      </c>
      <c r="H68" s="1469">
        <v>113</v>
      </c>
      <c r="I68" s="1469">
        <v>0</v>
      </c>
    </row>
    <row r="69" spans="1:9">
      <c r="A69" s="1467"/>
      <c r="B69" s="1468"/>
      <c r="C69" s="1469" t="s">
        <v>149</v>
      </c>
      <c r="D69" s="1467" t="s">
        <v>542</v>
      </c>
      <c r="E69" s="1470">
        <v>11.412999999999998</v>
      </c>
      <c r="F69" s="1471" t="s">
        <v>830</v>
      </c>
      <c r="G69" s="1471">
        <v>11.412999999999998</v>
      </c>
      <c r="H69" s="1469">
        <v>575</v>
      </c>
      <c r="I69" s="1469">
        <v>6562.4749999999995</v>
      </c>
    </row>
    <row r="70" spans="1:9">
      <c r="A70" s="1467"/>
      <c r="B70" s="1468"/>
      <c r="C70" s="1469" t="s">
        <v>150</v>
      </c>
      <c r="D70" s="1467" t="s">
        <v>542</v>
      </c>
      <c r="E70" s="1470">
        <v>16.425905999999998</v>
      </c>
      <c r="F70" s="1471" t="s">
        <v>830</v>
      </c>
      <c r="G70" s="1471">
        <v>16.425905999999998</v>
      </c>
      <c r="H70" s="1469">
        <v>977</v>
      </c>
      <c r="I70" s="1469">
        <v>16048.110161999997</v>
      </c>
    </row>
    <row r="71" spans="1:9">
      <c r="A71" s="1467"/>
      <c r="B71" s="1468"/>
      <c r="C71" s="1469" t="s">
        <v>151</v>
      </c>
      <c r="D71" s="1467" t="s">
        <v>542</v>
      </c>
      <c r="E71" s="1470" t="s">
        <v>1016</v>
      </c>
      <c r="F71" s="1471" t="s">
        <v>830</v>
      </c>
      <c r="G71" s="1471" t="s">
        <v>830</v>
      </c>
      <c r="H71" s="1469">
        <v>6057</v>
      </c>
      <c r="I71" s="1469" t="s">
        <v>67</v>
      </c>
    </row>
    <row r="72" spans="1:9">
      <c r="A72" s="1467"/>
      <c r="B72" s="1468"/>
      <c r="C72" s="1469" t="s">
        <v>152</v>
      </c>
      <c r="D72" s="1467" t="s">
        <v>542</v>
      </c>
      <c r="E72" s="1470" t="s">
        <v>1016</v>
      </c>
      <c r="F72" s="1471" t="s">
        <v>830</v>
      </c>
      <c r="G72" s="1471" t="s">
        <v>67</v>
      </c>
      <c r="H72" s="1469">
        <v>0</v>
      </c>
      <c r="I72" s="1469" t="s">
        <v>67</v>
      </c>
    </row>
    <row r="73" spans="1:9">
      <c r="A73" s="1467"/>
      <c r="B73" s="1468"/>
      <c r="C73" s="1469"/>
      <c r="D73" s="1467"/>
      <c r="E73" s="1470" t="s">
        <v>1016</v>
      </c>
      <c r="F73" s="1471"/>
      <c r="G73" s="1471">
        <v>0</v>
      </c>
      <c r="H73" s="1469" t="s">
        <v>67</v>
      </c>
      <c r="I73" s="1469" t="s">
        <v>67</v>
      </c>
    </row>
    <row r="74" spans="1:9">
      <c r="A74" s="1467"/>
      <c r="B74" s="1468" t="s">
        <v>153</v>
      </c>
      <c r="C74" s="1469"/>
      <c r="D74" s="1467"/>
      <c r="E74" s="1470" t="s">
        <v>1016</v>
      </c>
      <c r="F74" s="1471"/>
      <c r="G74" s="1471">
        <v>0</v>
      </c>
      <c r="H74" s="1469" t="s">
        <v>67</v>
      </c>
      <c r="I74" s="1469" t="s">
        <v>67</v>
      </c>
    </row>
    <row r="75" spans="1:9">
      <c r="A75" s="1467"/>
      <c r="B75" s="1468"/>
      <c r="C75" s="1469" t="s">
        <v>154</v>
      </c>
      <c r="D75" s="1467" t="s">
        <v>542</v>
      </c>
      <c r="E75" s="1470">
        <v>5.2352899999999991</v>
      </c>
      <c r="F75" s="1471" t="s">
        <v>830</v>
      </c>
      <c r="G75" s="1471">
        <v>5.2352899999999991</v>
      </c>
      <c r="H75" s="1469">
        <v>8864</v>
      </c>
      <c r="I75" s="1469">
        <v>46405.610559999994</v>
      </c>
    </row>
    <row r="76" spans="1:9">
      <c r="A76" s="1467"/>
      <c r="B76" s="1468"/>
      <c r="C76" s="1469" t="s">
        <v>155</v>
      </c>
      <c r="D76" s="1467" t="s">
        <v>542</v>
      </c>
      <c r="E76" s="1470">
        <v>13.132181999999998</v>
      </c>
      <c r="F76" s="1471" t="s">
        <v>830</v>
      </c>
      <c r="G76" s="1471">
        <v>13.132181999999998</v>
      </c>
      <c r="H76" s="1469">
        <v>8491</v>
      </c>
      <c r="I76" s="1469">
        <v>111505.35736199998</v>
      </c>
    </row>
    <row r="77" spans="1:9">
      <c r="A77" s="1467"/>
      <c r="B77" s="1468"/>
      <c r="C77" s="1469" t="s">
        <v>156</v>
      </c>
      <c r="D77" s="1467" t="s">
        <v>542</v>
      </c>
      <c r="E77" s="1470">
        <v>5.666949999999999</v>
      </c>
      <c r="F77" s="1471" t="s">
        <v>830</v>
      </c>
      <c r="G77" s="1471">
        <v>5.666949999999999</v>
      </c>
      <c r="H77" s="1469">
        <v>7078</v>
      </c>
      <c r="I77" s="1469">
        <v>40110.672099999996</v>
      </c>
    </row>
    <row r="78" spans="1:9">
      <c r="A78" s="1467"/>
      <c r="B78" s="1468"/>
      <c r="C78" s="1469" t="s">
        <v>157</v>
      </c>
      <c r="D78" s="1467" t="s">
        <v>542</v>
      </c>
      <c r="E78" s="1470">
        <v>13.934255999999998</v>
      </c>
      <c r="F78" s="1471" t="s">
        <v>830</v>
      </c>
      <c r="G78" s="1471">
        <v>13.934255999999998</v>
      </c>
      <c r="H78" s="1469">
        <v>1663</v>
      </c>
      <c r="I78" s="1469">
        <v>23172.667727999997</v>
      </c>
    </row>
    <row r="79" spans="1:9">
      <c r="A79" s="1467"/>
      <c r="B79" s="1468"/>
      <c r="C79" s="1469"/>
      <c r="D79" s="1467"/>
      <c r="E79" s="1470" t="s">
        <v>1016</v>
      </c>
      <c r="F79" s="1471"/>
      <c r="G79" s="1471">
        <v>0</v>
      </c>
      <c r="H79" s="1469" t="s">
        <v>67</v>
      </c>
      <c r="I79" s="1469" t="s">
        <v>67</v>
      </c>
    </row>
    <row r="80" spans="1:9">
      <c r="A80" s="1467" t="s">
        <v>158</v>
      </c>
      <c r="B80" s="1468"/>
      <c r="C80" s="1469"/>
      <c r="D80" s="1467"/>
      <c r="E80" s="1470" t="s">
        <v>1016</v>
      </c>
      <c r="F80" s="1471"/>
      <c r="G80" s="1471">
        <v>0</v>
      </c>
      <c r="H80" s="1469" t="s">
        <v>67</v>
      </c>
      <c r="I80" s="1469" t="s">
        <v>67</v>
      </c>
    </row>
    <row r="81" spans="1:9">
      <c r="A81" s="1467"/>
      <c r="B81" s="1468" t="s">
        <v>454</v>
      </c>
      <c r="C81" s="1469"/>
      <c r="D81" s="1467"/>
      <c r="E81" s="1470" t="s">
        <v>1016</v>
      </c>
      <c r="F81" s="1471"/>
      <c r="G81" s="1471">
        <v>0</v>
      </c>
      <c r="H81" s="1469" t="s">
        <v>67</v>
      </c>
      <c r="I81" s="1469" t="s">
        <v>67</v>
      </c>
    </row>
    <row r="82" spans="1:9">
      <c r="A82" s="1467"/>
      <c r="B82" s="1468"/>
      <c r="C82" s="1469" t="s">
        <v>159</v>
      </c>
      <c r="D82" s="1467" t="s">
        <v>541</v>
      </c>
      <c r="E82" s="1470">
        <v>101.7</v>
      </c>
      <c r="F82" s="1471" t="s">
        <v>830</v>
      </c>
      <c r="G82" s="1471">
        <v>101.7</v>
      </c>
      <c r="H82" s="1469">
        <v>330.39199999999994</v>
      </c>
      <c r="I82" s="1469">
        <v>33600.866399999992</v>
      </c>
    </row>
    <row r="83" spans="1:9">
      <c r="A83" s="1467"/>
      <c r="B83" s="1468"/>
      <c r="C83" s="1469" t="s">
        <v>160</v>
      </c>
      <c r="D83" s="1467" t="s">
        <v>541</v>
      </c>
      <c r="E83" s="1470">
        <v>0</v>
      </c>
      <c r="F83" s="1471" t="s">
        <v>830</v>
      </c>
      <c r="G83" s="1471">
        <v>0</v>
      </c>
      <c r="H83" s="1469">
        <v>26.745000000000001</v>
      </c>
      <c r="I83" s="1469">
        <v>0</v>
      </c>
    </row>
    <row r="84" spans="1:9">
      <c r="A84" s="1467"/>
      <c r="B84" s="1468"/>
      <c r="C84" s="1469" t="s">
        <v>161</v>
      </c>
      <c r="D84" s="1467" t="s">
        <v>541</v>
      </c>
      <c r="E84" s="1470">
        <v>101.7</v>
      </c>
      <c r="F84" s="1471" t="s">
        <v>830</v>
      </c>
      <c r="G84" s="1471">
        <v>101.7</v>
      </c>
      <c r="H84" s="1469">
        <v>375.05500000000001</v>
      </c>
      <c r="I84" s="1469">
        <v>38143.093500000003</v>
      </c>
    </row>
    <row r="85" spans="1:9">
      <c r="A85" s="1467"/>
      <c r="B85" s="1468"/>
      <c r="C85" s="1469" t="s">
        <v>162</v>
      </c>
      <c r="D85" s="1467" t="s">
        <v>541</v>
      </c>
      <c r="E85" s="1470">
        <v>101.7</v>
      </c>
      <c r="F85" s="1471" t="s">
        <v>830</v>
      </c>
      <c r="G85" s="1471">
        <v>101.7</v>
      </c>
      <c r="H85" s="1469">
        <v>634.36099999999999</v>
      </c>
      <c r="I85" s="1469">
        <v>64514.513700000003</v>
      </c>
    </row>
    <row r="86" spans="1:9">
      <c r="A86" s="1467"/>
      <c r="B86" s="1468"/>
      <c r="C86" s="1469"/>
      <c r="D86" s="1467"/>
      <c r="E86" s="1470" t="s">
        <v>1016</v>
      </c>
      <c r="F86" s="1471"/>
      <c r="G86" s="1471">
        <v>0</v>
      </c>
      <c r="H86" s="1469" t="s">
        <v>67</v>
      </c>
      <c r="I86" s="1469" t="s">
        <v>67</v>
      </c>
    </row>
    <row r="87" spans="1:9">
      <c r="A87" s="1467"/>
      <c r="B87" s="1468" t="s">
        <v>113</v>
      </c>
      <c r="C87" s="1469"/>
      <c r="D87" s="1467"/>
      <c r="E87" s="1470" t="s">
        <v>1016</v>
      </c>
      <c r="F87" s="1471"/>
      <c r="G87" s="1471">
        <v>0</v>
      </c>
      <c r="H87" s="1469" t="s">
        <v>67</v>
      </c>
      <c r="I87" s="1469" t="s">
        <v>67</v>
      </c>
    </row>
    <row r="88" spans="1:9">
      <c r="A88" s="1467"/>
      <c r="B88" s="1468"/>
      <c r="C88" s="1469" t="s">
        <v>163</v>
      </c>
      <c r="D88" s="1467" t="s">
        <v>542</v>
      </c>
      <c r="E88" s="1470">
        <v>2.4981268718499998</v>
      </c>
      <c r="F88" s="1471" t="s">
        <v>830</v>
      </c>
      <c r="G88" s="1471">
        <v>2.4981268718499998</v>
      </c>
      <c r="H88" s="1469">
        <v>4056</v>
      </c>
      <c r="I88" s="1469">
        <v>10132.4025922236</v>
      </c>
    </row>
    <row r="89" spans="1:9">
      <c r="A89" s="1467"/>
      <c r="B89" s="1468"/>
      <c r="C89" s="1469" t="s">
        <v>164</v>
      </c>
      <c r="D89" s="1467" t="s">
        <v>542</v>
      </c>
      <c r="E89" s="1470">
        <v>0</v>
      </c>
      <c r="F89" s="1471" t="s">
        <v>830</v>
      </c>
      <c r="G89" s="1471">
        <v>0</v>
      </c>
      <c r="H89" s="1469">
        <v>164</v>
      </c>
      <c r="I89" s="1469">
        <v>0</v>
      </c>
    </row>
    <row r="90" spans="1:9">
      <c r="A90" s="1467"/>
      <c r="B90" s="1468"/>
      <c r="C90" s="1469" t="s">
        <v>165</v>
      </c>
      <c r="D90" s="1467" t="s">
        <v>542</v>
      </c>
      <c r="E90" s="1470">
        <v>2.4981268718499998</v>
      </c>
      <c r="F90" s="1471" t="s">
        <v>830</v>
      </c>
      <c r="G90" s="1471">
        <v>2.4981268718499998</v>
      </c>
      <c r="H90" s="1469">
        <v>5844</v>
      </c>
      <c r="I90" s="1469">
        <v>14599.053439091398</v>
      </c>
    </row>
    <row r="91" spans="1:9">
      <c r="A91" s="1467"/>
      <c r="B91" s="1468"/>
      <c r="C91" s="1469" t="s">
        <v>166</v>
      </c>
      <c r="D91" s="1467" t="s">
        <v>542</v>
      </c>
      <c r="E91" s="1470">
        <v>0</v>
      </c>
      <c r="F91" s="1471" t="s">
        <v>830</v>
      </c>
      <c r="G91" s="1471">
        <v>0</v>
      </c>
      <c r="H91" s="1469">
        <v>1950</v>
      </c>
      <c r="I91" s="1469">
        <v>0</v>
      </c>
    </row>
    <row r="92" spans="1:9">
      <c r="A92" s="1467"/>
      <c r="B92" s="1468"/>
      <c r="C92" s="1469"/>
      <c r="D92" s="1467"/>
      <c r="E92" s="1470" t="s">
        <v>1016</v>
      </c>
      <c r="F92" s="1471"/>
      <c r="G92" s="1471">
        <v>0</v>
      </c>
      <c r="H92" s="1469" t="s">
        <v>67</v>
      </c>
      <c r="I92" s="1469" t="s">
        <v>67</v>
      </c>
    </row>
    <row r="93" spans="1:9">
      <c r="A93" s="1467"/>
      <c r="B93" s="1468" t="s">
        <v>134</v>
      </c>
      <c r="C93" s="1469"/>
      <c r="D93" s="1467"/>
      <c r="E93" s="1470" t="s">
        <v>1016</v>
      </c>
      <c r="F93" s="1471"/>
      <c r="G93" s="1471">
        <v>0</v>
      </c>
      <c r="H93" s="1469" t="s">
        <v>67</v>
      </c>
      <c r="I93" s="1469" t="s">
        <v>67</v>
      </c>
    </row>
    <row r="94" spans="1:9">
      <c r="A94" s="1467"/>
      <c r="B94" s="1468"/>
      <c r="C94" s="1469" t="s">
        <v>167</v>
      </c>
      <c r="D94" s="1467" t="s">
        <v>541</v>
      </c>
      <c r="E94" s="1470">
        <v>299.45</v>
      </c>
      <c r="F94" s="1471" t="s">
        <v>830</v>
      </c>
      <c r="G94" s="1471">
        <v>299.45</v>
      </c>
      <c r="H94" s="1469">
        <v>235.97403676948835</v>
      </c>
      <c r="I94" s="1469">
        <v>70662.425310623279</v>
      </c>
    </row>
    <row r="95" spans="1:9">
      <c r="A95" s="1467"/>
      <c r="B95" s="1468"/>
      <c r="C95" s="1469" t="s">
        <v>168</v>
      </c>
      <c r="D95" s="1467" t="s">
        <v>541</v>
      </c>
      <c r="E95" s="1470">
        <v>0</v>
      </c>
      <c r="F95" s="1471" t="s">
        <v>830</v>
      </c>
      <c r="G95" s="1471">
        <v>0</v>
      </c>
      <c r="H95" s="1469">
        <v>180.24196323051169</v>
      </c>
      <c r="I95" s="1469">
        <v>0</v>
      </c>
    </row>
    <row r="96" spans="1:9">
      <c r="A96" s="1467"/>
      <c r="B96" s="1468"/>
      <c r="C96" s="1469" t="s">
        <v>169</v>
      </c>
      <c r="D96" s="1467" t="s">
        <v>541</v>
      </c>
      <c r="E96" s="1470">
        <v>0</v>
      </c>
      <c r="F96" s="1471" t="s">
        <v>830</v>
      </c>
      <c r="G96" s="1471">
        <v>0</v>
      </c>
      <c r="H96" s="1469">
        <v>73.972000000000008</v>
      </c>
      <c r="I96" s="1469">
        <v>0</v>
      </c>
    </row>
    <row r="97" spans="1:9">
      <c r="A97" s="1467"/>
      <c r="B97" s="1468"/>
      <c r="C97" s="1469" t="s">
        <v>170</v>
      </c>
      <c r="D97" s="1467" t="s">
        <v>541</v>
      </c>
      <c r="E97" s="1470">
        <v>339</v>
      </c>
      <c r="F97" s="1471" t="s">
        <v>830</v>
      </c>
      <c r="G97" s="1471">
        <v>339</v>
      </c>
      <c r="H97" s="1469">
        <v>84.476963230511672</v>
      </c>
      <c r="I97" s="1469">
        <v>28637.690535143458</v>
      </c>
    </row>
    <row r="98" spans="1:9">
      <c r="A98" s="1467"/>
      <c r="B98" s="1468"/>
      <c r="C98" s="1469" t="s">
        <v>171</v>
      </c>
      <c r="D98" s="1467" t="s">
        <v>541</v>
      </c>
      <c r="E98" s="1470">
        <v>0</v>
      </c>
      <c r="F98" s="1471" t="s">
        <v>830</v>
      </c>
      <c r="G98" s="1471">
        <v>0</v>
      </c>
      <c r="H98" s="1469">
        <v>367.62103676948828</v>
      </c>
      <c r="I98" s="1469">
        <v>0</v>
      </c>
    </row>
    <row r="99" spans="1:9">
      <c r="A99" s="1467"/>
      <c r="B99" s="1468"/>
      <c r="C99" s="1469" t="s">
        <v>172</v>
      </c>
      <c r="D99" s="1467" t="s">
        <v>541</v>
      </c>
      <c r="E99" s="1470">
        <v>0</v>
      </c>
      <c r="F99" s="1471" t="s">
        <v>830</v>
      </c>
      <c r="G99" s="1471">
        <v>0</v>
      </c>
      <c r="H99" s="1469">
        <v>0</v>
      </c>
      <c r="I99" s="1469">
        <v>0</v>
      </c>
    </row>
    <row r="100" spans="1:9">
      <c r="A100" s="1467"/>
      <c r="B100" s="1468"/>
      <c r="C100" s="1469"/>
      <c r="D100" s="1467"/>
      <c r="E100" s="1470" t="s">
        <v>1016</v>
      </c>
      <c r="F100" s="1471"/>
      <c r="G100" s="1471">
        <v>0</v>
      </c>
      <c r="H100" s="1469" t="s">
        <v>67</v>
      </c>
      <c r="I100" s="1469" t="s">
        <v>67</v>
      </c>
    </row>
    <row r="101" spans="1:9">
      <c r="A101" s="1467"/>
      <c r="B101" s="1468" t="s">
        <v>137</v>
      </c>
      <c r="C101" s="1469"/>
      <c r="D101" s="1467"/>
      <c r="E101" s="1470" t="s">
        <v>1016</v>
      </c>
      <c r="F101" s="1471"/>
      <c r="G101" s="1471">
        <v>0</v>
      </c>
      <c r="H101" s="1469" t="s">
        <v>67</v>
      </c>
      <c r="I101" s="1469" t="s">
        <v>67</v>
      </c>
    </row>
    <row r="102" spans="1:9">
      <c r="A102" s="1467"/>
      <c r="B102" s="1468"/>
      <c r="C102" s="1469" t="s">
        <v>173</v>
      </c>
      <c r="D102" s="1467" t="s">
        <v>541</v>
      </c>
      <c r="E102" s="1470">
        <v>0</v>
      </c>
      <c r="F102" s="1471" t="s">
        <v>830</v>
      </c>
      <c r="G102" s="1471">
        <v>0</v>
      </c>
      <c r="H102" s="1469">
        <v>0</v>
      </c>
      <c r="I102" s="1469">
        <v>0</v>
      </c>
    </row>
    <row r="103" spans="1:9">
      <c r="A103" s="1467"/>
      <c r="B103" s="1468"/>
      <c r="C103" s="1469"/>
      <c r="D103" s="1467"/>
      <c r="E103" s="1470" t="s">
        <v>1016</v>
      </c>
      <c r="F103" s="1471"/>
      <c r="G103" s="1471">
        <v>0</v>
      </c>
      <c r="H103" s="1469" t="s">
        <v>67</v>
      </c>
      <c r="I103" s="1469" t="s">
        <v>67</v>
      </c>
    </row>
    <row r="104" spans="1:9">
      <c r="A104" s="1467"/>
      <c r="B104" s="1468" t="s">
        <v>120</v>
      </c>
      <c r="C104" s="1469"/>
      <c r="D104" s="1467"/>
      <c r="E104" s="1470" t="s">
        <v>1016</v>
      </c>
      <c r="F104" s="1471"/>
      <c r="G104" s="1471">
        <v>0</v>
      </c>
      <c r="H104" s="1469" t="s">
        <v>67</v>
      </c>
      <c r="I104" s="1469" t="s">
        <v>67</v>
      </c>
    </row>
    <row r="105" spans="1:9">
      <c r="A105" s="1467"/>
      <c r="B105" s="1468"/>
      <c r="C105" s="1469" t="s">
        <v>174</v>
      </c>
      <c r="D105" s="1467" t="s">
        <v>542</v>
      </c>
      <c r="E105" s="1470">
        <v>186.45</v>
      </c>
      <c r="F105" s="1471" t="s">
        <v>830</v>
      </c>
      <c r="G105" s="1471">
        <v>186.45</v>
      </c>
      <c r="H105" s="1469">
        <v>256</v>
      </c>
      <c r="I105" s="1469">
        <v>47731.199999999997</v>
      </c>
    </row>
    <row r="106" spans="1:9">
      <c r="A106" s="1467"/>
      <c r="B106" s="1468"/>
      <c r="C106" s="1469" t="s">
        <v>175</v>
      </c>
      <c r="D106" s="1467" t="s">
        <v>542</v>
      </c>
      <c r="E106" s="1470">
        <v>0</v>
      </c>
      <c r="F106" s="1471" t="s">
        <v>830</v>
      </c>
      <c r="G106" s="1471">
        <v>0</v>
      </c>
      <c r="H106" s="1469">
        <v>12</v>
      </c>
      <c r="I106" s="1469">
        <v>0</v>
      </c>
    </row>
    <row r="107" spans="1:9">
      <c r="A107" s="1467"/>
      <c r="B107" s="1468"/>
      <c r="C107" s="1469" t="s">
        <v>176</v>
      </c>
      <c r="D107" s="1467" t="s">
        <v>542</v>
      </c>
      <c r="E107" s="1470">
        <v>0</v>
      </c>
      <c r="F107" s="1471" t="s">
        <v>830</v>
      </c>
      <c r="G107" s="1471">
        <v>0</v>
      </c>
      <c r="H107" s="1469">
        <v>20</v>
      </c>
      <c r="I107" s="1469">
        <v>0</v>
      </c>
    </row>
    <row r="108" spans="1:9">
      <c r="A108" s="1467"/>
      <c r="B108" s="1468"/>
      <c r="C108" s="1469" t="s">
        <v>177</v>
      </c>
      <c r="D108" s="1467" t="s">
        <v>542</v>
      </c>
      <c r="E108" s="1470">
        <v>0</v>
      </c>
      <c r="F108" s="1471" t="s">
        <v>830</v>
      </c>
      <c r="G108" s="1471">
        <v>0</v>
      </c>
      <c r="H108" s="1469">
        <v>4</v>
      </c>
      <c r="I108" s="1469">
        <v>0</v>
      </c>
    </row>
    <row r="109" spans="1:9">
      <c r="A109" s="1467"/>
      <c r="B109" s="1468"/>
      <c r="C109" s="1469" t="s">
        <v>178</v>
      </c>
      <c r="D109" s="1467" t="s">
        <v>542</v>
      </c>
      <c r="E109" s="1470">
        <v>0</v>
      </c>
      <c r="F109" s="1471" t="s">
        <v>830</v>
      </c>
      <c r="G109" s="1471">
        <v>0</v>
      </c>
      <c r="H109" s="1469">
        <v>0</v>
      </c>
      <c r="I109" s="1469">
        <v>0</v>
      </c>
    </row>
    <row r="110" spans="1:9">
      <c r="A110" s="1467"/>
      <c r="B110" s="1468"/>
      <c r="C110" s="1469" t="s">
        <v>179</v>
      </c>
      <c r="D110" s="1467" t="s">
        <v>542</v>
      </c>
      <c r="E110" s="1470" t="s">
        <v>1016</v>
      </c>
      <c r="F110" s="1471" t="s">
        <v>830</v>
      </c>
      <c r="G110" s="1471" t="s">
        <v>830</v>
      </c>
      <c r="H110" s="1469">
        <v>124</v>
      </c>
      <c r="I110" s="1469" t="s">
        <v>67</v>
      </c>
    </row>
    <row r="111" spans="1:9">
      <c r="A111" s="1467"/>
      <c r="B111" s="1468"/>
      <c r="C111" s="1469" t="s">
        <v>180</v>
      </c>
      <c r="D111" s="1467" t="s">
        <v>542</v>
      </c>
      <c r="E111" s="1470">
        <v>186.45</v>
      </c>
      <c r="F111" s="1471" t="s">
        <v>830</v>
      </c>
      <c r="G111" s="1471">
        <v>186.45</v>
      </c>
      <c r="H111" s="1469">
        <v>379</v>
      </c>
      <c r="I111" s="1469">
        <v>70664.55</v>
      </c>
    </row>
    <row r="112" spans="1:9">
      <c r="A112" s="1467"/>
      <c r="B112" s="1468"/>
      <c r="C112" s="1469" t="s">
        <v>181</v>
      </c>
      <c r="D112" s="1467" t="s">
        <v>542</v>
      </c>
      <c r="E112" s="1470" t="s">
        <v>1016</v>
      </c>
      <c r="F112" s="1471" t="s">
        <v>830</v>
      </c>
      <c r="G112" s="1471" t="s">
        <v>830</v>
      </c>
      <c r="H112" s="1469">
        <v>1058</v>
      </c>
      <c r="I112" s="1469" t="s">
        <v>67</v>
      </c>
    </row>
    <row r="113" spans="1:9">
      <c r="A113" s="1467"/>
      <c r="B113" s="1468"/>
      <c r="C113" s="1469"/>
      <c r="D113" s="1467"/>
      <c r="E113" s="1470" t="s">
        <v>1016</v>
      </c>
      <c r="F113" s="1471"/>
      <c r="G113" s="1471">
        <v>0</v>
      </c>
      <c r="H113" s="1469" t="s">
        <v>67</v>
      </c>
      <c r="I113" s="1469" t="s">
        <v>67</v>
      </c>
    </row>
    <row r="114" spans="1:9">
      <c r="A114" s="1467"/>
      <c r="B114" s="1468" t="s">
        <v>153</v>
      </c>
      <c r="C114" s="1469"/>
      <c r="D114" s="1467"/>
      <c r="E114" s="1470" t="s">
        <v>1016</v>
      </c>
      <c r="F114" s="1471"/>
      <c r="G114" s="1471">
        <v>0</v>
      </c>
      <c r="H114" s="1469" t="s">
        <v>67</v>
      </c>
      <c r="I114" s="1469" t="s">
        <v>67</v>
      </c>
    </row>
    <row r="115" spans="1:9">
      <c r="A115" s="1467"/>
      <c r="B115" s="1468"/>
      <c r="C115" s="1469" t="s">
        <v>182</v>
      </c>
      <c r="D115" s="1467" t="s">
        <v>542</v>
      </c>
      <c r="E115" s="1470">
        <v>0</v>
      </c>
      <c r="F115" s="1471" t="s">
        <v>830</v>
      </c>
      <c r="G115" s="1471">
        <v>0</v>
      </c>
      <c r="H115" s="1469">
        <v>13</v>
      </c>
      <c r="I115" s="1469">
        <v>0</v>
      </c>
    </row>
    <row r="116" spans="1:9">
      <c r="A116" s="1467"/>
      <c r="B116" s="1468"/>
      <c r="C116" s="1469" t="s">
        <v>183</v>
      </c>
      <c r="D116" s="1467" t="s">
        <v>542</v>
      </c>
      <c r="E116" s="1470">
        <v>395.5</v>
      </c>
      <c r="F116" s="1471" t="s">
        <v>830</v>
      </c>
      <c r="G116" s="1471">
        <v>395.5</v>
      </c>
      <c r="H116" s="1469">
        <v>147</v>
      </c>
      <c r="I116" s="1469">
        <v>58138.5</v>
      </c>
    </row>
    <row r="117" spans="1:9">
      <c r="A117" s="1467"/>
      <c r="B117" s="1468"/>
      <c r="C117" s="1469" t="s">
        <v>184</v>
      </c>
      <c r="D117" s="1467" t="s">
        <v>542</v>
      </c>
      <c r="E117" s="1470" t="s">
        <v>1016</v>
      </c>
      <c r="F117" s="1471" t="s">
        <v>830</v>
      </c>
      <c r="G117" s="1471" t="s">
        <v>830</v>
      </c>
      <c r="H117" s="1469">
        <v>169</v>
      </c>
      <c r="I117" s="1469" t="s">
        <v>67</v>
      </c>
    </row>
    <row r="118" spans="1:9">
      <c r="A118" s="1467"/>
      <c r="B118" s="1468"/>
      <c r="C118" s="1469" t="s">
        <v>185</v>
      </c>
      <c r="D118" s="1467" t="s">
        <v>542</v>
      </c>
      <c r="E118" s="1470">
        <v>429.4</v>
      </c>
      <c r="F118" s="1471" t="s">
        <v>830</v>
      </c>
      <c r="G118" s="1471">
        <v>429.4</v>
      </c>
      <c r="H118" s="1469">
        <v>197</v>
      </c>
      <c r="I118" s="1469">
        <v>84591.799999999988</v>
      </c>
    </row>
    <row r="119" spans="1:9">
      <c r="A119" s="1467"/>
      <c r="B119" s="1468"/>
      <c r="C119" s="1469" t="s">
        <v>186</v>
      </c>
      <c r="D119" s="1467" t="s">
        <v>542</v>
      </c>
      <c r="E119" s="1470" t="s">
        <v>1016</v>
      </c>
      <c r="F119" s="1471" t="s">
        <v>830</v>
      </c>
      <c r="G119" s="1471" t="s">
        <v>830</v>
      </c>
      <c r="H119" s="1469">
        <v>353</v>
      </c>
      <c r="I119" s="1469" t="s">
        <v>67</v>
      </c>
    </row>
    <row r="120" spans="1:9">
      <c r="A120" s="1467"/>
      <c r="B120" s="1468"/>
      <c r="C120" s="1469"/>
      <c r="D120" s="1467"/>
      <c r="E120" s="1470" t="s">
        <v>1016</v>
      </c>
      <c r="F120" s="1471"/>
      <c r="G120" s="1471">
        <v>0</v>
      </c>
      <c r="H120" s="1469" t="s">
        <v>67</v>
      </c>
      <c r="I120" s="1469" t="s">
        <v>67</v>
      </c>
    </row>
    <row r="121" spans="1:9">
      <c r="A121" s="1467" t="s">
        <v>187</v>
      </c>
      <c r="B121" s="1468"/>
      <c r="C121" s="1469"/>
      <c r="D121" s="1467"/>
      <c r="E121" s="1470" t="s">
        <v>1016</v>
      </c>
      <c r="F121" s="1471"/>
      <c r="G121" s="1471">
        <v>0</v>
      </c>
      <c r="H121" s="1469" t="s">
        <v>67</v>
      </c>
      <c r="I121" s="1469" t="s">
        <v>67</v>
      </c>
    </row>
    <row r="122" spans="1:9">
      <c r="A122" s="1467"/>
      <c r="B122" s="1468" t="s">
        <v>454</v>
      </c>
      <c r="C122" s="1469"/>
      <c r="D122" s="1467"/>
      <c r="E122" s="1470" t="s">
        <v>1016</v>
      </c>
      <c r="F122" s="1471"/>
      <c r="G122" s="1471">
        <v>0</v>
      </c>
      <c r="H122" s="1469" t="s">
        <v>67</v>
      </c>
      <c r="I122" s="1469" t="s">
        <v>67</v>
      </c>
    </row>
    <row r="123" spans="1:9">
      <c r="A123" s="1467"/>
      <c r="B123" s="1468"/>
      <c r="C123" s="1469" t="s">
        <v>188</v>
      </c>
      <c r="D123" s="1467" t="s">
        <v>541</v>
      </c>
      <c r="E123" s="1470">
        <v>0</v>
      </c>
      <c r="F123" s="1471" t="s">
        <v>830</v>
      </c>
      <c r="G123" s="1471">
        <v>0</v>
      </c>
      <c r="H123" s="1469">
        <v>8</v>
      </c>
      <c r="I123" s="1469">
        <v>0</v>
      </c>
    </row>
    <row r="124" spans="1:9">
      <c r="A124" s="1467"/>
      <c r="B124" s="1468"/>
      <c r="C124" s="1469" t="s">
        <v>189</v>
      </c>
      <c r="D124" s="1467" t="s">
        <v>541</v>
      </c>
      <c r="E124" s="1470">
        <v>151.41999999999999</v>
      </c>
      <c r="F124" s="1471" t="s">
        <v>830</v>
      </c>
      <c r="G124" s="1471">
        <v>151.41999999999999</v>
      </c>
      <c r="H124" s="1469">
        <v>598.01499999999999</v>
      </c>
      <c r="I124" s="1469">
        <v>90551.431299999997</v>
      </c>
    </row>
    <row r="125" spans="1:9">
      <c r="A125" s="1467"/>
      <c r="B125" s="1468"/>
      <c r="C125" s="1469"/>
      <c r="D125" s="1467"/>
      <c r="E125" s="1470" t="s">
        <v>1016</v>
      </c>
      <c r="F125" s="1471"/>
      <c r="G125" s="1471">
        <v>0</v>
      </c>
      <c r="H125" s="1469" t="s">
        <v>67</v>
      </c>
      <c r="I125" s="1469" t="s">
        <v>67</v>
      </c>
    </row>
    <row r="126" spans="1:9">
      <c r="A126" s="1467"/>
      <c r="B126" s="1468" t="s">
        <v>113</v>
      </c>
      <c r="C126" s="1469"/>
      <c r="D126" s="1467"/>
      <c r="E126" s="1470" t="s">
        <v>1016</v>
      </c>
      <c r="F126" s="1471"/>
      <c r="G126" s="1471">
        <v>0</v>
      </c>
      <c r="H126" s="1469" t="s">
        <v>67</v>
      </c>
      <c r="I126" s="1469" t="s">
        <v>67</v>
      </c>
    </row>
    <row r="127" spans="1:9">
      <c r="A127" s="1467"/>
      <c r="B127" s="1468"/>
      <c r="C127" s="1469" t="s">
        <v>190</v>
      </c>
      <c r="D127" s="1467" t="s">
        <v>542</v>
      </c>
      <c r="E127" s="1470">
        <v>0</v>
      </c>
      <c r="F127" s="1471" t="s">
        <v>830</v>
      </c>
      <c r="G127" s="1471">
        <v>0</v>
      </c>
      <c r="H127" s="1469">
        <v>129</v>
      </c>
      <c r="I127" s="1469">
        <v>0</v>
      </c>
    </row>
    <row r="128" spans="1:9">
      <c r="A128" s="1467"/>
      <c r="B128" s="1468"/>
      <c r="C128" s="1469" t="s">
        <v>191</v>
      </c>
      <c r="D128" s="1467" t="s">
        <v>542</v>
      </c>
      <c r="E128" s="1470">
        <v>0</v>
      </c>
      <c r="F128" s="1471" t="s">
        <v>830</v>
      </c>
      <c r="G128" s="1471">
        <v>0</v>
      </c>
      <c r="H128" s="1469">
        <v>1239</v>
      </c>
      <c r="I128" s="1469">
        <v>0</v>
      </c>
    </row>
    <row r="129" spans="1:9">
      <c r="A129" s="1467"/>
      <c r="B129" s="1468"/>
      <c r="C129" s="1469" t="s">
        <v>192</v>
      </c>
      <c r="D129" s="1467" t="s">
        <v>542</v>
      </c>
      <c r="E129" s="1470">
        <v>7.91</v>
      </c>
      <c r="F129" s="1471" t="s">
        <v>830</v>
      </c>
      <c r="G129" s="1471">
        <v>7.91</v>
      </c>
      <c r="H129" s="1469">
        <v>2478</v>
      </c>
      <c r="I129" s="1469">
        <v>19600.98</v>
      </c>
    </row>
    <row r="130" spans="1:9">
      <c r="A130" s="1467"/>
      <c r="B130" s="1468"/>
      <c r="C130" s="1469"/>
      <c r="D130" s="1467"/>
      <c r="E130" s="1470" t="s">
        <v>1016</v>
      </c>
      <c r="F130" s="1471"/>
      <c r="G130" s="1471">
        <v>0</v>
      </c>
      <c r="H130" s="1469" t="s">
        <v>67</v>
      </c>
      <c r="I130" s="1469" t="s">
        <v>67</v>
      </c>
    </row>
    <row r="131" spans="1:9">
      <c r="A131" s="1467"/>
      <c r="B131" s="1468" t="s">
        <v>134</v>
      </c>
      <c r="C131" s="1469"/>
      <c r="D131" s="1467"/>
      <c r="E131" s="1470" t="s">
        <v>1016</v>
      </c>
      <c r="F131" s="1471"/>
      <c r="G131" s="1471">
        <v>0</v>
      </c>
      <c r="H131" s="1469" t="s">
        <v>67</v>
      </c>
      <c r="I131" s="1469" t="s">
        <v>67</v>
      </c>
    </row>
    <row r="132" spans="1:9">
      <c r="A132" s="1467"/>
      <c r="B132" s="1468"/>
      <c r="C132" s="1469" t="s">
        <v>193</v>
      </c>
      <c r="D132" s="1467" t="s">
        <v>541</v>
      </c>
      <c r="E132" s="1470">
        <v>773.99349999999993</v>
      </c>
      <c r="F132" s="1471" t="s">
        <v>830</v>
      </c>
      <c r="G132" s="1471">
        <v>773.99349999999993</v>
      </c>
      <c r="H132" s="1469">
        <v>23.527000000000005</v>
      </c>
      <c r="I132" s="1469">
        <v>18209.745074500002</v>
      </c>
    </row>
    <row r="133" spans="1:9">
      <c r="A133" s="1467"/>
      <c r="B133" s="1468"/>
      <c r="C133" s="1469" t="s">
        <v>194</v>
      </c>
      <c r="D133" s="1467" t="s">
        <v>541</v>
      </c>
      <c r="E133" s="1470">
        <v>0</v>
      </c>
      <c r="F133" s="1471" t="s">
        <v>830</v>
      </c>
      <c r="G133" s="1471">
        <v>0</v>
      </c>
      <c r="H133" s="1469">
        <v>60.755000000000003</v>
      </c>
      <c r="I133" s="1469">
        <v>0</v>
      </c>
    </row>
    <row r="134" spans="1:9">
      <c r="A134" s="1467"/>
      <c r="B134" s="1468"/>
      <c r="C134" s="1469" t="s">
        <v>195</v>
      </c>
      <c r="D134" s="1467" t="s">
        <v>541</v>
      </c>
      <c r="E134" s="1470">
        <v>0</v>
      </c>
      <c r="F134" s="1471" t="s">
        <v>830</v>
      </c>
      <c r="G134" s="1471">
        <v>0</v>
      </c>
      <c r="H134" s="1469">
        <v>5.8369999999999997</v>
      </c>
      <c r="I134" s="1469">
        <v>0</v>
      </c>
    </row>
    <row r="135" spans="1:9">
      <c r="A135" s="1467"/>
      <c r="B135" s="1468"/>
      <c r="C135" s="1469"/>
      <c r="D135" s="1467"/>
      <c r="E135" s="1470" t="s">
        <v>1016</v>
      </c>
      <c r="F135" s="1471"/>
      <c r="G135" s="1471">
        <v>0</v>
      </c>
      <c r="H135" s="1469" t="s">
        <v>67</v>
      </c>
      <c r="I135" s="1469" t="s">
        <v>67</v>
      </c>
    </row>
    <row r="136" spans="1:9">
      <c r="A136" s="1467"/>
      <c r="B136" s="1468" t="s">
        <v>137</v>
      </c>
      <c r="C136" s="1469"/>
      <c r="D136" s="1467"/>
      <c r="E136" s="1470" t="s">
        <v>1016</v>
      </c>
      <c r="F136" s="1471"/>
      <c r="G136" s="1471">
        <v>0</v>
      </c>
      <c r="H136" s="1469" t="s">
        <v>67</v>
      </c>
      <c r="I136" s="1469" t="s">
        <v>67</v>
      </c>
    </row>
    <row r="137" spans="1:9">
      <c r="A137" s="1467"/>
      <c r="B137" s="1468"/>
      <c r="C137" s="1469" t="s">
        <v>196</v>
      </c>
      <c r="D137" s="1467" t="s">
        <v>541</v>
      </c>
      <c r="E137" s="1470">
        <v>0</v>
      </c>
      <c r="F137" s="1471" t="s">
        <v>830</v>
      </c>
      <c r="G137" s="1471">
        <v>0</v>
      </c>
      <c r="H137" s="1469">
        <v>0</v>
      </c>
      <c r="I137" s="1469">
        <v>0</v>
      </c>
    </row>
    <row r="138" spans="1:9">
      <c r="A138" s="1467"/>
      <c r="B138" s="1468"/>
      <c r="C138" s="1469"/>
      <c r="D138" s="1467"/>
      <c r="E138" s="1470" t="s">
        <v>1016</v>
      </c>
      <c r="F138" s="1471"/>
      <c r="G138" s="1471">
        <v>0</v>
      </c>
      <c r="H138" s="1469" t="s">
        <v>67</v>
      </c>
      <c r="I138" s="1469" t="s">
        <v>67</v>
      </c>
    </row>
    <row r="139" spans="1:9">
      <c r="A139" s="1467"/>
      <c r="B139" s="1468" t="s">
        <v>120</v>
      </c>
      <c r="C139" s="1469"/>
      <c r="D139" s="1467"/>
      <c r="E139" s="1470" t="s">
        <v>1016</v>
      </c>
      <c r="F139" s="1471"/>
      <c r="G139" s="1471">
        <v>0</v>
      </c>
      <c r="H139" s="1469" t="s">
        <v>67</v>
      </c>
      <c r="I139" s="1469" t="s">
        <v>67</v>
      </c>
    </row>
    <row r="140" spans="1:9">
      <c r="A140" s="1467"/>
      <c r="B140" s="1468"/>
      <c r="C140" s="1469" t="s">
        <v>197</v>
      </c>
      <c r="D140" s="1467" t="s">
        <v>542</v>
      </c>
      <c r="E140" s="1470">
        <v>621.5</v>
      </c>
      <c r="F140" s="1471" t="s">
        <v>830</v>
      </c>
      <c r="G140" s="1471">
        <v>621.5</v>
      </c>
      <c r="H140" s="1469">
        <v>80</v>
      </c>
      <c r="I140" s="1469">
        <v>49720</v>
      </c>
    </row>
    <row r="141" spans="1:9">
      <c r="A141" s="1467"/>
      <c r="B141" s="1468"/>
      <c r="C141" s="1469" t="s">
        <v>198</v>
      </c>
      <c r="D141" s="1467" t="s">
        <v>542</v>
      </c>
      <c r="E141" s="1470" t="s">
        <v>1016</v>
      </c>
      <c r="F141" s="1471" t="s">
        <v>830</v>
      </c>
      <c r="G141" s="1471" t="s">
        <v>830</v>
      </c>
      <c r="H141" s="1469">
        <v>379</v>
      </c>
      <c r="I141" s="1469" t="s">
        <v>67</v>
      </c>
    </row>
    <row r="142" spans="1:9">
      <c r="A142" s="1467"/>
      <c r="B142" s="1468"/>
      <c r="C142" s="1469"/>
      <c r="D142" s="1467"/>
      <c r="E142" s="1470" t="s">
        <v>1016</v>
      </c>
      <c r="F142" s="1471"/>
      <c r="G142" s="1471">
        <v>0</v>
      </c>
      <c r="H142" s="1469" t="s">
        <v>67</v>
      </c>
      <c r="I142" s="1469" t="s">
        <v>67</v>
      </c>
    </row>
    <row r="143" spans="1:9">
      <c r="A143" s="1467"/>
      <c r="B143" s="1468" t="s">
        <v>153</v>
      </c>
      <c r="C143" s="1469"/>
      <c r="D143" s="1467"/>
      <c r="E143" s="1470" t="s">
        <v>1016</v>
      </c>
      <c r="F143" s="1471"/>
      <c r="G143" s="1471">
        <v>0</v>
      </c>
      <c r="H143" s="1469" t="s">
        <v>67</v>
      </c>
      <c r="I143" s="1469" t="s">
        <v>67</v>
      </c>
    </row>
    <row r="144" spans="1:9">
      <c r="A144" s="1467"/>
      <c r="B144" s="1468"/>
      <c r="C144" s="1469" t="s">
        <v>199</v>
      </c>
      <c r="D144" s="1467" t="s">
        <v>542</v>
      </c>
      <c r="E144" s="1470">
        <v>915.3</v>
      </c>
      <c r="F144" s="1471" t="s">
        <v>830</v>
      </c>
      <c r="G144" s="1471">
        <v>915.3</v>
      </c>
      <c r="H144" s="1469">
        <v>79</v>
      </c>
      <c r="I144" s="1469">
        <v>72308.7</v>
      </c>
    </row>
    <row r="145" spans="1:9">
      <c r="A145" s="1467"/>
      <c r="B145" s="1468"/>
      <c r="C145" s="1469" t="s">
        <v>200</v>
      </c>
      <c r="D145" s="1467" t="s">
        <v>542</v>
      </c>
      <c r="E145" s="1470" t="s">
        <v>1016</v>
      </c>
      <c r="F145" s="1471" t="s">
        <v>830</v>
      </c>
      <c r="G145" s="1471" t="s">
        <v>830</v>
      </c>
      <c r="H145" s="1469">
        <v>186</v>
      </c>
      <c r="I145" s="1469" t="s">
        <v>67</v>
      </c>
    </row>
    <row r="146" spans="1:9">
      <c r="A146" s="1467"/>
      <c r="B146" s="1468"/>
      <c r="C146" s="1469"/>
      <c r="D146" s="1467"/>
      <c r="E146" s="1470" t="s">
        <v>1016</v>
      </c>
      <c r="F146" s="1471"/>
      <c r="G146" s="1471">
        <v>0</v>
      </c>
      <c r="H146" s="1469" t="s">
        <v>67</v>
      </c>
      <c r="I146" s="1469" t="s">
        <v>67</v>
      </c>
    </row>
    <row r="147" spans="1:9">
      <c r="A147" s="1467" t="s">
        <v>201</v>
      </c>
      <c r="B147" s="1468"/>
      <c r="C147" s="1469"/>
      <c r="D147" s="1467"/>
      <c r="E147" s="1470" t="s">
        <v>1016</v>
      </c>
      <c r="F147" s="1471"/>
      <c r="G147" s="1471">
        <v>0</v>
      </c>
      <c r="H147" s="1469" t="s">
        <v>67</v>
      </c>
      <c r="I147" s="1469" t="s">
        <v>67</v>
      </c>
    </row>
    <row r="148" spans="1:9">
      <c r="A148" s="1467"/>
      <c r="B148" s="1468" t="s">
        <v>202</v>
      </c>
      <c r="C148" s="1469"/>
      <c r="D148" s="1467"/>
      <c r="E148" s="1470" t="s">
        <v>1016</v>
      </c>
      <c r="F148" s="1471"/>
      <c r="G148" s="1471">
        <v>0</v>
      </c>
      <c r="H148" s="1469" t="s">
        <v>67</v>
      </c>
      <c r="I148" s="1469" t="s">
        <v>67</v>
      </c>
    </row>
    <row r="149" spans="1:9">
      <c r="A149" s="1467"/>
      <c r="B149" s="1468"/>
      <c r="C149" s="1469" t="s">
        <v>203</v>
      </c>
      <c r="D149" s="1467" t="s">
        <v>542</v>
      </c>
      <c r="E149" s="1470" t="s">
        <v>1016</v>
      </c>
      <c r="F149" s="1471" t="s">
        <v>830</v>
      </c>
      <c r="G149" s="1471" t="s">
        <v>67</v>
      </c>
      <c r="H149" s="1469">
        <v>0</v>
      </c>
      <c r="I149" s="1469" t="s">
        <v>67</v>
      </c>
    </row>
    <row r="150" spans="1:9">
      <c r="A150" s="1467"/>
      <c r="B150" s="1468"/>
      <c r="C150" s="1469" t="s">
        <v>204</v>
      </c>
      <c r="D150" s="1467" t="s">
        <v>542</v>
      </c>
      <c r="E150" s="1470" t="s">
        <v>1016</v>
      </c>
      <c r="F150" s="1471" t="s">
        <v>830</v>
      </c>
      <c r="G150" s="1471" t="s">
        <v>830</v>
      </c>
      <c r="H150" s="1469">
        <v>365</v>
      </c>
      <c r="I150" s="1469" t="s">
        <v>67</v>
      </c>
    </row>
    <row r="151" spans="1:9">
      <c r="A151" s="1467"/>
      <c r="B151" s="1468"/>
      <c r="C151" s="1469"/>
      <c r="D151" s="1467"/>
      <c r="E151" s="1470" t="s">
        <v>1016</v>
      </c>
      <c r="F151" s="1471"/>
      <c r="G151" s="1471">
        <v>0</v>
      </c>
      <c r="H151" s="1469" t="s">
        <v>67</v>
      </c>
      <c r="I151" s="1469" t="s">
        <v>67</v>
      </c>
    </row>
    <row r="152" spans="1:9">
      <c r="A152" s="1467"/>
      <c r="B152" s="1468" t="s">
        <v>205</v>
      </c>
      <c r="C152" s="1469"/>
      <c r="D152" s="1467"/>
      <c r="E152" s="1470" t="s">
        <v>1016</v>
      </c>
      <c r="F152" s="1471"/>
      <c r="G152" s="1471">
        <v>0</v>
      </c>
      <c r="H152" s="1469" t="s">
        <v>67</v>
      </c>
      <c r="I152" s="1469" t="s">
        <v>67</v>
      </c>
    </row>
    <row r="153" spans="1:9">
      <c r="A153" s="1467"/>
      <c r="B153" s="1468"/>
      <c r="C153" s="1469" t="s">
        <v>206</v>
      </c>
      <c r="D153" s="1467" t="s">
        <v>542</v>
      </c>
      <c r="E153" s="1470" t="s">
        <v>1016</v>
      </c>
      <c r="F153" s="1471" t="s">
        <v>830</v>
      </c>
      <c r="G153" s="1471" t="s">
        <v>830</v>
      </c>
      <c r="H153" s="1469">
        <v>803.35</v>
      </c>
      <c r="I153" s="1469" t="s">
        <v>67</v>
      </c>
    </row>
    <row r="154" spans="1:9">
      <c r="A154" s="1467"/>
      <c r="B154" s="1468"/>
      <c r="C154" s="1469" t="s">
        <v>207</v>
      </c>
      <c r="D154" s="1467" t="s">
        <v>542</v>
      </c>
      <c r="E154" s="1470" t="s">
        <v>1016</v>
      </c>
      <c r="F154" s="1471" t="s">
        <v>830</v>
      </c>
      <c r="G154" s="1471" t="s">
        <v>830</v>
      </c>
      <c r="H154" s="1469">
        <v>1023.3505</v>
      </c>
      <c r="I154" s="1469" t="s">
        <v>67</v>
      </c>
    </row>
    <row r="155" spans="1:9">
      <c r="A155" s="1467"/>
      <c r="B155" s="1468"/>
      <c r="C155" s="1469"/>
      <c r="D155" s="1467"/>
      <c r="E155" s="1470" t="s">
        <v>1016</v>
      </c>
      <c r="F155" s="1471"/>
      <c r="G155" s="1471">
        <v>0</v>
      </c>
      <c r="H155" s="1469" t="s">
        <v>67</v>
      </c>
      <c r="I155" s="1469" t="s">
        <v>67</v>
      </c>
    </row>
    <row r="156" spans="1:9">
      <c r="A156" s="1467"/>
      <c r="B156" s="1468"/>
      <c r="C156" s="1469"/>
      <c r="D156" s="1467"/>
      <c r="E156" s="1470" t="s">
        <v>1016</v>
      </c>
      <c r="F156" s="1471"/>
      <c r="G156" s="1471">
        <v>0</v>
      </c>
      <c r="H156" s="1469" t="s">
        <v>67</v>
      </c>
      <c r="I156" s="1469" t="s">
        <v>67</v>
      </c>
    </row>
    <row r="157" spans="1:9">
      <c r="A157" s="1467" t="s">
        <v>543</v>
      </c>
      <c r="B157" s="1468"/>
      <c r="C157" s="1469"/>
      <c r="D157" s="1467"/>
      <c r="E157" s="1470" t="s">
        <v>1016</v>
      </c>
      <c r="F157" s="1471"/>
      <c r="G157" s="1471">
        <v>0</v>
      </c>
      <c r="H157" s="1469" t="s">
        <v>67</v>
      </c>
      <c r="I157" s="1469" t="s">
        <v>67</v>
      </c>
    </row>
    <row r="158" spans="1:9">
      <c r="A158" s="1467"/>
      <c r="B158" s="1468"/>
      <c r="C158" s="1469" t="s">
        <v>140</v>
      </c>
      <c r="D158" s="1467"/>
      <c r="E158" s="1470" t="s">
        <v>1016</v>
      </c>
      <c r="F158" s="1471"/>
      <c r="G158" s="1471">
        <v>0</v>
      </c>
      <c r="H158" s="1469" t="s">
        <v>67</v>
      </c>
      <c r="I158" s="1469" t="s">
        <v>67</v>
      </c>
    </row>
    <row r="159" spans="1:9">
      <c r="A159" s="1467"/>
      <c r="B159" s="1468"/>
      <c r="C159" s="1469" t="s">
        <v>544</v>
      </c>
      <c r="D159" s="1467" t="s">
        <v>542</v>
      </c>
      <c r="E159" s="1470">
        <v>56.5</v>
      </c>
      <c r="F159" s="1471" t="s">
        <v>830</v>
      </c>
      <c r="G159" s="1471">
        <v>56.5</v>
      </c>
      <c r="H159" s="1469" t="s">
        <v>67</v>
      </c>
      <c r="I159" s="1469" t="s">
        <v>67</v>
      </c>
    </row>
    <row r="160" spans="1:9">
      <c r="A160" s="1467"/>
      <c r="B160" s="1468"/>
      <c r="C160" s="1469" t="s">
        <v>545</v>
      </c>
      <c r="D160" s="1467" t="s">
        <v>542</v>
      </c>
      <c r="E160" s="1470">
        <v>12.459831999999997</v>
      </c>
      <c r="F160" s="1471" t="s">
        <v>830</v>
      </c>
      <c r="G160" s="1471">
        <v>12.459831999999997</v>
      </c>
      <c r="H160" s="1469" t="s">
        <v>67</v>
      </c>
      <c r="I160" s="1469" t="s">
        <v>67</v>
      </c>
    </row>
    <row r="161" spans="1:9">
      <c r="A161" s="1467"/>
      <c r="B161" s="1468"/>
      <c r="C161" s="1469" t="s">
        <v>149</v>
      </c>
      <c r="D161" s="1467"/>
      <c r="E161" s="1470" t="s">
        <v>1016</v>
      </c>
      <c r="F161" s="1471" t="s">
        <v>830</v>
      </c>
      <c r="G161" s="1471" t="s">
        <v>830</v>
      </c>
      <c r="H161" s="1469" t="s">
        <v>67</v>
      </c>
      <c r="I161" s="1469" t="s">
        <v>67</v>
      </c>
    </row>
    <row r="162" spans="1:9">
      <c r="A162" s="1467"/>
      <c r="B162" s="1468"/>
      <c r="C162" s="1469" t="s">
        <v>544</v>
      </c>
      <c r="D162" s="1467" t="s">
        <v>542</v>
      </c>
      <c r="E162" s="1470">
        <v>0</v>
      </c>
      <c r="F162" s="1471" t="s">
        <v>830</v>
      </c>
      <c r="G162" s="1471">
        <v>0</v>
      </c>
      <c r="H162" s="1469" t="s">
        <v>67</v>
      </c>
      <c r="I162" s="1469" t="s">
        <v>67</v>
      </c>
    </row>
    <row r="163" spans="1:9">
      <c r="A163" s="1472"/>
      <c r="B163" s="1473"/>
      <c r="C163" s="1474" t="s">
        <v>545</v>
      </c>
      <c r="D163" s="1472" t="s">
        <v>542</v>
      </c>
      <c r="E163" s="1475">
        <v>13.56</v>
      </c>
      <c r="F163" s="1476" t="s">
        <v>830</v>
      </c>
      <c r="G163" s="1476">
        <v>13.56</v>
      </c>
      <c r="H163" s="1472" t="s">
        <v>67</v>
      </c>
      <c r="I163" s="1472" t="s">
        <v>67</v>
      </c>
    </row>
  </sheetData>
  <phoneticPr fontId="1" type="noConversion"/>
  <pageMargins left="0.75" right="0.75" top="1" bottom="1" header="0.5" footer="0.5"/>
  <pageSetup paperSize="9" scale="3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C5FFFF"/>
    <pageSetUpPr fitToPage="1"/>
  </sheetPr>
  <dimension ref="A1:L35"/>
  <sheetViews>
    <sheetView showGridLines="0" tabSelected="1" topLeftCell="A10" zoomScaleNormal="100" workbookViewId="0">
      <selection activeCell="F24" sqref="F24"/>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Northern Powergrid (Yorkshire) in 2017/18  Status: April 2017 - Final Charges</v>
      </c>
    </row>
    <row r="2" spans="1:7">
      <c r="C2" s="15"/>
    </row>
    <row r="3" spans="1:7">
      <c r="A3" s="5" t="s">
        <v>32</v>
      </c>
      <c r="B3" s="5"/>
      <c r="C3" s="15"/>
    </row>
    <row r="4" spans="1:7">
      <c r="A4" s="5"/>
      <c r="B4" s="5"/>
      <c r="C4" s="15"/>
    </row>
    <row r="5" spans="1:7">
      <c r="B5" s="16" t="s">
        <v>33</v>
      </c>
      <c r="C5" s="16" t="s">
        <v>34</v>
      </c>
      <c r="D5" s="16" t="s">
        <v>35</v>
      </c>
    </row>
    <row r="6" spans="1:7" ht="30" customHeight="1">
      <c r="A6" s="13" t="s">
        <v>32</v>
      </c>
      <c r="B6" s="1477" t="s">
        <v>1084</v>
      </c>
      <c r="C6" s="1477" t="s">
        <v>1023</v>
      </c>
      <c r="D6" s="1477" t="s">
        <v>1085</v>
      </c>
    </row>
    <row r="7" spans="1:7">
      <c r="C7" s="15"/>
    </row>
    <row r="8" spans="1:7">
      <c r="A8" s="5" t="s">
        <v>36</v>
      </c>
      <c r="B8" s="5"/>
    </row>
    <row r="9" spans="1:7">
      <c r="A9" s="2" t="s">
        <v>37</v>
      </c>
    </row>
    <row r="11" spans="1:7">
      <c r="B11" s="16" t="s">
        <v>38</v>
      </c>
    </row>
    <row r="12" spans="1:7" ht="17.25" customHeight="1">
      <c r="A12" s="13" t="s">
        <v>1005</v>
      </c>
      <c r="B12" s="17">
        <v>0.15829284217180656</v>
      </c>
    </row>
    <row r="13" spans="1:7" ht="17.25" customHeight="1">
      <c r="A13" s="13" t="s">
        <v>1006</v>
      </c>
      <c r="B13" s="17">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36"/>
      <c r="C27" s="36"/>
      <c r="D27" s="36"/>
      <c r="E27" s="36"/>
      <c r="F27" s="36"/>
      <c r="G27" s="36"/>
      <c r="H27" s="36"/>
      <c r="I27" s="36"/>
      <c r="J27" s="36"/>
      <c r="K27" s="36"/>
      <c r="L27" s="36"/>
    </row>
    <row r="28" spans="1:12">
      <c r="A28" s="36"/>
      <c r="B28" s="36"/>
      <c r="C28" s="36"/>
      <c r="D28" s="36"/>
      <c r="E28" s="36"/>
      <c r="F28" s="36"/>
      <c r="G28" s="36"/>
      <c r="H28" s="36"/>
      <c r="I28" s="36"/>
      <c r="J28" s="36"/>
      <c r="K28" s="36"/>
      <c r="L28" s="36"/>
    </row>
    <row r="29" spans="1:12">
      <c r="A29" s="36"/>
      <c r="B29" s="18" t="s">
        <v>46</v>
      </c>
      <c r="C29" s="18" t="s">
        <v>47</v>
      </c>
      <c r="D29" s="18" t="s">
        <v>48</v>
      </c>
      <c r="E29" s="18" t="s">
        <v>49</v>
      </c>
      <c r="F29" s="18" t="s">
        <v>50</v>
      </c>
      <c r="G29" s="18" t="s">
        <v>51</v>
      </c>
      <c r="H29" s="18" t="s">
        <v>52</v>
      </c>
      <c r="I29" s="18" t="s">
        <v>53</v>
      </c>
      <c r="J29" s="18" t="s">
        <v>54</v>
      </c>
      <c r="K29" s="18" t="s">
        <v>55</v>
      </c>
      <c r="L29" s="18" t="s">
        <v>56</v>
      </c>
    </row>
    <row r="30" spans="1:12">
      <c r="A30" s="19" t="s">
        <v>997</v>
      </c>
      <c r="B30" s="1802">
        <v>0</v>
      </c>
      <c r="C30" s="1802">
        <v>382780394.18252265</v>
      </c>
      <c r="D30" s="1802">
        <v>129364295.01168576</v>
      </c>
      <c r="E30" s="1802">
        <v>529628577.26582158</v>
      </c>
      <c r="F30" s="1802">
        <v>276639610.6373328</v>
      </c>
      <c r="G30" s="1802">
        <v>0</v>
      </c>
      <c r="H30" s="1802">
        <v>747796913.97490633</v>
      </c>
      <c r="I30" s="1802">
        <v>264680490.47266525</v>
      </c>
      <c r="J30" s="1802">
        <v>457447891.53925794</v>
      </c>
      <c r="K30" s="1802">
        <v>1395248534.4879851</v>
      </c>
      <c r="L30" s="1802">
        <v>44940063.846022114</v>
      </c>
    </row>
    <row r="31" spans="1:12">
      <c r="A31" s="36"/>
      <c r="B31" s="36"/>
      <c r="C31" s="36"/>
      <c r="D31" s="36"/>
      <c r="E31" s="36"/>
      <c r="F31" s="36"/>
      <c r="G31" s="36"/>
      <c r="H31" s="36"/>
      <c r="I31" s="36"/>
      <c r="J31" s="36"/>
      <c r="K31" s="36"/>
      <c r="L31" s="36"/>
    </row>
    <row r="32" spans="1:12">
      <c r="A32" s="5" t="s">
        <v>57</v>
      </c>
      <c r="B32" s="36"/>
      <c r="C32" s="36"/>
      <c r="D32" s="36"/>
      <c r="E32" s="36"/>
      <c r="F32" s="36"/>
      <c r="G32" s="36"/>
      <c r="H32" s="36"/>
      <c r="I32" s="36"/>
      <c r="J32" s="36"/>
      <c r="K32" s="36"/>
      <c r="L32" s="36"/>
    </row>
    <row r="33" spans="1:12">
      <c r="A33" s="36"/>
      <c r="B33" s="36"/>
      <c r="C33" s="36"/>
      <c r="D33" s="36"/>
      <c r="E33" s="36"/>
      <c r="F33" s="36"/>
      <c r="G33" s="36"/>
      <c r="H33" s="36"/>
      <c r="I33" s="36"/>
      <c r="J33" s="36"/>
      <c r="K33" s="36"/>
      <c r="L33" s="36"/>
    </row>
    <row r="34" spans="1:12" ht="30">
      <c r="A34" s="36"/>
      <c r="B34" s="40" t="s">
        <v>58</v>
      </c>
      <c r="C34" s="36"/>
      <c r="D34" s="36"/>
      <c r="E34" s="36"/>
      <c r="F34" s="36"/>
      <c r="G34" s="36"/>
      <c r="H34" s="36"/>
      <c r="I34" s="36"/>
      <c r="J34" s="36"/>
      <c r="K34" s="36"/>
      <c r="L34" s="36"/>
    </row>
    <row r="35" spans="1:12">
      <c r="A35" s="19" t="s">
        <v>58</v>
      </c>
      <c r="B35" s="1802">
        <v>133767098.93453099</v>
      </c>
      <c r="C35" s="37"/>
      <c r="D35" s="36"/>
      <c r="E35" s="36"/>
      <c r="F35" s="36"/>
      <c r="G35" s="36"/>
      <c r="H35" s="36"/>
      <c r="I35" s="36"/>
      <c r="J35" s="36"/>
      <c r="K35" s="36"/>
      <c r="L35" s="36"/>
    </row>
  </sheetData>
  <phoneticPr fontId="1"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r:id="rId1"/>
  <headerFooter>
    <oddHeader>&amp;A&amp;RPage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C4"/>
    <pageSetUpPr fitToPage="1"/>
  </sheetPr>
  <dimension ref="A1:H11"/>
  <sheetViews>
    <sheetView showGridLines="0" workbookViewId="0"/>
  </sheetViews>
  <sheetFormatPr defaultColWidth="8.85546875" defaultRowHeight="15"/>
  <cols>
    <col min="1" max="1" width="21.7109375" style="2" customWidth="1"/>
    <col min="2" max="2" width="9.85546875" style="2" customWidth="1"/>
    <col min="3" max="3" width="31.140625" style="2" customWidth="1"/>
    <col min="4" max="4" width="8.85546875" style="2" customWidth="1"/>
    <col min="5" max="7" width="20.42578125" style="2" customWidth="1"/>
    <col min="8" max="8" width="21.85546875" style="2" customWidth="1"/>
    <col min="9" max="10" width="20.42578125" style="2" customWidth="1"/>
    <col min="11" max="11" width="21.85546875" style="2" customWidth="1"/>
    <col min="12" max="13" width="9.140625" style="2" customWidth="1"/>
    <col min="14" max="15" width="20.42578125" style="2" customWidth="1"/>
    <col min="16" max="16" width="21.85546875" style="2" customWidth="1"/>
    <col min="17" max="16384" width="8.85546875" style="2"/>
  </cols>
  <sheetData>
    <row r="1" spans="1:8" ht="19.5">
      <c r="A1" s="4" t="str">
        <f>"Calc-MEAV for Method M ("&amp;'Calc-Net capex'!B5&amp;") for "&amp;Inputs!B6&amp;" in "&amp;Inputs!C6&amp;"  Status: "&amp;Inputs!D6&amp;""</f>
        <v>Calc-MEAV for Method M (LR1) for Northern Powergrid (Yorkshire) in 2017/18  Status: April 2017 - Final Charges</v>
      </c>
    </row>
    <row r="3" spans="1:8" ht="26.25" customHeight="1">
      <c r="F3" s="2" t="s">
        <v>831</v>
      </c>
    </row>
    <row r="4" spans="1:8" ht="27.75" customHeight="1">
      <c r="F4" s="2" t="s">
        <v>832</v>
      </c>
    </row>
    <row r="5" spans="1:8">
      <c r="G5" s="2" t="s">
        <v>223</v>
      </c>
      <c r="H5" s="2" t="s">
        <v>833</v>
      </c>
    </row>
    <row r="6" spans="1:8">
      <c r="F6" s="2" t="s">
        <v>244</v>
      </c>
      <c r="G6" s="2">
        <f>SUM('Data-MEAV'!I20:I39)</f>
        <v>3421897.5860029487</v>
      </c>
      <c r="H6" s="2">
        <f>G6/$G$11</f>
        <v>0.57504907628028623</v>
      </c>
    </row>
    <row r="7" spans="1:8">
      <c r="F7" s="2" t="s">
        <v>550</v>
      </c>
      <c r="G7" s="2">
        <f>SUM('Data-MEAV'!I62:I63)+SUM('Data-MEAV'!I69:I70)+SUM('Data-MEAV'!I75:I78)</f>
        <v>375277.567912</v>
      </c>
      <c r="H7" s="2">
        <f>G7/$G$11</f>
        <v>6.3065306121152284E-2</v>
      </c>
    </row>
    <row r="8" spans="1:8">
      <c r="F8" s="2" t="s">
        <v>245</v>
      </c>
      <c r="G8" s="2">
        <f>SUM('Data-MEAV'!I42:I56)+SUM('Data-MEAV'!I59:I61)+SUM('Data-MEAV'!I64:I68)+SUM('Data-MEAV'!I71:I72)+SUM('Data-MEAV'!I158:I163)+SUM('Data-MEAV'!I153:I154)</f>
        <v>1452730.9982940261</v>
      </c>
      <c r="H8" s="2">
        <f>G8/$G$11</f>
        <v>0.24413109909245481</v>
      </c>
    </row>
    <row r="9" spans="1:8">
      <c r="F9" s="2" t="s">
        <v>427</v>
      </c>
      <c r="G9" s="2">
        <f>'Calc-Drivers'!E32*(SUM('Data-MEAV'!I81:I120)+SUM('Data-MEAV'!I149:I150))</f>
        <v>473386.01684982498</v>
      </c>
      <c r="H9" s="2">
        <f>G9/$G$11</f>
        <v>7.9552407654453192E-2</v>
      </c>
    </row>
    <row r="10" spans="1:8">
      <c r="F10" s="2" t="s">
        <v>506</v>
      </c>
      <c r="G10" s="2">
        <f>'Calc-Drivers'!E32*SUM('Data-MEAV'!I121:I146)</f>
        <v>227326.18187838636</v>
      </c>
      <c r="H10" s="2">
        <f>G10/$G$11</f>
        <v>3.8202110851653572E-2</v>
      </c>
    </row>
    <row r="11" spans="1:8">
      <c r="F11" s="2" t="s">
        <v>220</v>
      </c>
      <c r="G11" s="2">
        <f>SUM(G6:G10)</f>
        <v>5950618.3509371858</v>
      </c>
      <c r="H11" s="2">
        <f>SUM(H6:H10)</f>
        <v>1</v>
      </c>
    </row>
  </sheetData>
  <sheetProtection sheet="1" objects="1" scenarios="1"/>
  <phoneticPr fontId="1"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C4"/>
    <pageSetUpPr fitToPage="1"/>
  </sheetPr>
  <dimension ref="A1:F23"/>
  <sheetViews>
    <sheetView showGridLines="0" workbookViewId="0"/>
  </sheetViews>
  <sheetFormatPr defaultColWidth="8.85546875" defaultRowHeight="15"/>
  <cols>
    <col min="1" max="1" width="59.140625" style="2" customWidth="1"/>
    <col min="2" max="2" width="16" style="2" customWidth="1"/>
    <col min="3" max="6" width="19" style="2" customWidth="1"/>
    <col min="7" max="16384" width="8.85546875" style="2"/>
  </cols>
  <sheetData>
    <row r="1" spans="1:6" ht="19.5">
      <c r="A1" s="4" t="str">
        <f>"Calc-Units for Method M ("&amp;'Calc-Net capex'!B5&amp;") for "&amp;Inputs!B6&amp;" in "&amp;Inputs!C6&amp;"  Status: "&amp;Inputs!D6&amp;""</f>
        <v>Calc-Units for Method M (LR1) for Northern Powergrid (Yorkshire) in 2017/18  Status: April 2017 - Final Charges</v>
      </c>
    </row>
    <row r="3" spans="1:6">
      <c r="A3" s="2" t="s">
        <v>834</v>
      </c>
    </row>
    <row r="4" spans="1:6">
      <c r="B4" s="2" t="s">
        <v>835</v>
      </c>
    </row>
    <row r="5" spans="1:6">
      <c r="A5" s="2" t="s">
        <v>836</v>
      </c>
      <c r="B5" s="2">
        <f>'RRP 5.1'!G36</f>
        <v>11379.3</v>
      </c>
    </row>
    <row r="6" spans="1:6">
      <c r="A6" s="2" t="s">
        <v>837</v>
      </c>
      <c r="B6" s="2">
        <f>'RRP 5.1'!G35</f>
        <v>3311.5</v>
      </c>
    </row>
    <row r="7" spans="1:6">
      <c r="A7" s="2" t="s">
        <v>838</v>
      </c>
      <c r="B7" s="2">
        <f>'RRP 5.1'!G34</f>
        <v>2243.4</v>
      </c>
    </row>
    <row r="8" spans="1:6">
      <c r="A8" s="2" t="s">
        <v>839</v>
      </c>
      <c r="B8" s="2">
        <f>'RRP 5.1'!G40</f>
        <v>891.2</v>
      </c>
    </row>
    <row r="10" spans="1:6">
      <c r="A10" s="2" t="s">
        <v>840</v>
      </c>
    </row>
    <row r="11" spans="1:6">
      <c r="B11" s="2" t="s">
        <v>841</v>
      </c>
      <c r="C11" s="2" t="s">
        <v>244</v>
      </c>
      <c r="D11" s="2" t="s">
        <v>245</v>
      </c>
      <c r="E11" s="2" t="s">
        <v>427</v>
      </c>
      <c r="F11" s="2" t="s">
        <v>426</v>
      </c>
    </row>
    <row r="12" spans="1:6">
      <c r="A12" s="2" t="s">
        <v>836</v>
      </c>
      <c r="B12" s="2">
        <v>1</v>
      </c>
      <c r="C12" s="2">
        <v>1</v>
      </c>
      <c r="D12" s="2">
        <v>1</v>
      </c>
      <c r="E12" s="2">
        <v>1</v>
      </c>
      <c r="F12" s="2">
        <v>1</v>
      </c>
    </row>
    <row r="13" spans="1:6">
      <c r="A13" s="2" t="s">
        <v>837</v>
      </c>
      <c r="B13" s="2">
        <v>0</v>
      </c>
      <c r="C13" s="2">
        <v>0</v>
      </c>
      <c r="D13" s="2">
        <f>(1+$B$8/($B$5+$B$6/2+$B$7/4)/2)/(1+$B$8/($B$5+$B$6/2+$B$7/4))</f>
        <v>0.96924160114860813</v>
      </c>
      <c r="E13" s="2">
        <f>(1+$B$8/($B$5+$B$6/2+$B$7/4)/2)/(1+$B$8/($B$5+$B$6/2+$B$7/4))</f>
        <v>0.96924160114860813</v>
      </c>
      <c r="F13" s="2">
        <f>(1+$B$8/($B$5+$B$6/2+$B$7/4)/2)/(1+$B$8/($B$5+$B$6/2+$B$7/4))</f>
        <v>0.96924160114860813</v>
      </c>
    </row>
    <row r="14" spans="1:6">
      <c r="A14" s="2" t="s">
        <v>838</v>
      </c>
      <c r="B14" s="2">
        <v>0</v>
      </c>
      <c r="C14" s="2">
        <v>0</v>
      </c>
      <c r="D14" s="2">
        <v>0</v>
      </c>
      <c r="E14" s="2">
        <f>(1+$B$8/($B$5+$B$6/2+$B$7/4)/4)/(1+$B$8/($B$5+$B$6/2+$B$7/4))</f>
        <v>0.95386240172291215</v>
      </c>
      <c r="F14" s="2">
        <f>(1+$B$8/($B$5+$B$6/2+$B$7/4)/4)/(1+$B$8/($B$5+$B$6/2+$B$7/4))</f>
        <v>0.95386240172291215</v>
      </c>
    </row>
    <row r="21" spans="1:6">
      <c r="B21" s="2" t="s">
        <v>841</v>
      </c>
      <c r="C21" s="2" t="s">
        <v>244</v>
      </c>
      <c r="D21" s="2" t="s">
        <v>245</v>
      </c>
      <c r="E21" s="2" t="s">
        <v>427</v>
      </c>
      <c r="F21" s="2" t="s">
        <v>426</v>
      </c>
    </row>
    <row r="22" spans="1:6">
      <c r="A22" s="2" t="s">
        <v>842</v>
      </c>
      <c r="B22" s="2">
        <f>SUMPRODUCT(B$12:B$14,$B$5:$B$7)</f>
        <v>11379.3</v>
      </c>
      <c r="C22" s="2">
        <f>SUMPRODUCT(C$12:C$14,$B$5:$B$7)</f>
        <v>11379.3</v>
      </c>
      <c r="D22" s="2">
        <f>SUMPRODUCT(D$12:D$14,$B$5:$B$7)</f>
        <v>14588.943562203614</v>
      </c>
      <c r="E22" s="2">
        <f>SUMPRODUCT(E$12:E$14,$B$5:$B$7)</f>
        <v>16728.838474228796</v>
      </c>
      <c r="F22" s="2">
        <f>SUMPRODUCT(F$12:F$14,$B$5:$B$7)</f>
        <v>16728.838474228796</v>
      </c>
    </row>
    <row r="23" spans="1:6">
      <c r="A23" s="2" t="s">
        <v>843</v>
      </c>
      <c r="B23" s="2">
        <f>B22*1000000</f>
        <v>11379300000</v>
      </c>
      <c r="C23" s="2">
        <f>C22*1000000</f>
        <v>11379300000</v>
      </c>
      <c r="D23" s="2">
        <f>D22*1000000</f>
        <v>14588943562.203615</v>
      </c>
      <c r="E23" s="2">
        <f>E22*1000000</f>
        <v>16728838474.228796</v>
      </c>
      <c r="F23" s="2">
        <f>F22*1000000</f>
        <v>16728838474.228796</v>
      </c>
    </row>
  </sheetData>
  <sheetProtection sheet="1" objects="1" scenarios="1"/>
  <phoneticPr fontId="1"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C4"/>
    <pageSetUpPr fitToPage="1"/>
  </sheetPr>
  <dimension ref="A1:P110"/>
  <sheetViews>
    <sheetView showGridLines="0" topLeftCell="A9" workbookViewId="0"/>
  </sheetViews>
  <sheetFormatPr defaultColWidth="8.85546875" defaultRowHeight="15"/>
  <cols>
    <col min="1" max="1" width="8.85546875" style="2" customWidth="1"/>
    <col min="2" max="10" width="11.42578125" style="2" customWidth="1"/>
    <col min="11" max="16384" width="8.85546875" style="2"/>
  </cols>
  <sheetData>
    <row r="1" spans="1:16" ht="19.5">
      <c r="A1" s="4" t="str">
        <f>"Calc-Net capex for Method M ("&amp;B5&amp;") for "&amp;Inputs!B6&amp;" in "&amp;Inputs!C6&amp;"  Status: "&amp;Inputs!D6&amp;""</f>
        <v>Calc-Net capex for Method M (LR1) for Northern Powergrid (Yorkshire) in 2017/18  Status: April 2017 - Final Charges</v>
      </c>
    </row>
    <row r="3" spans="1:16" ht="26.25" customHeight="1">
      <c r="A3" s="31" t="s">
        <v>844</v>
      </c>
      <c r="B3" s="32"/>
      <c r="C3" s="32"/>
      <c r="D3" s="33"/>
      <c r="F3" s="1789" t="s">
        <v>845</v>
      </c>
      <c r="G3" s="1790"/>
      <c r="H3" s="1794"/>
      <c r="J3" s="1789" t="s">
        <v>546</v>
      </c>
      <c r="K3" s="1790"/>
      <c r="L3" s="1794"/>
      <c r="N3" s="1796" t="s">
        <v>547</v>
      </c>
      <c r="O3" s="1797"/>
      <c r="P3" s="1798"/>
    </row>
    <row r="4" spans="1:16" ht="12.75" customHeight="1">
      <c r="A4" s="24"/>
      <c r="B4" s="22"/>
      <c r="C4" s="22" t="s">
        <v>846</v>
      </c>
      <c r="D4" s="23" t="s">
        <v>847</v>
      </c>
      <c r="F4" s="24"/>
      <c r="G4" s="22"/>
      <c r="H4" s="23"/>
      <c r="J4" s="1799" t="s">
        <v>548</v>
      </c>
      <c r="K4" s="1800"/>
      <c r="L4" s="1801"/>
      <c r="N4" s="1799" t="s">
        <v>549</v>
      </c>
      <c r="O4" s="1800"/>
      <c r="P4" s="1801"/>
    </row>
    <row r="5" spans="1:16">
      <c r="A5" s="25"/>
      <c r="B5" s="26" t="str">
        <f>IF(Inputs!A20,INDEX(C4:D4,Inputs!A20),"No option selected")</f>
        <v>LR1</v>
      </c>
      <c r="C5" s="26"/>
      <c r="D5" s="27"/>
      <c r="F5" s="24"/>
      <c r="G5" s="22" t="s">
        <v>223</v>
      </c>
      <c r="H5" s="23" t="s">
        <v>833</v>
      </c>
      <c r="J5" s="24" t="s">
        <v>427</v>
      </c>
      <c r="K5" s="22">
        <f>'Reductions to net capex'!K5</f>
        <v>0</v>
      </c>
      <c r="L5" s="23">
        <f>K$5*(F21/(F21+F22))</f>
        <v>0</v>
      </c>
      <c r="N5" s="24"/>
      <c r="O5" s="22" t="s">
        <v>223</v>
      </c>
      <c r="P5" s="23"/>
    </row>
    <row r="6" spans="1:16">
      <c r="F6" s="24" t="s">
        <v>244</v>
      </c>
      <c r="G6" s="22">
        <f>C39+F39+I39+C49+F49-O6</f>
        <v>131.12335814493619</v>
      </c>
      <c r="H6" s="23">
        <f>G6/SUM($G$6:$G$10)</f>
        <v>0.23003602878104326</v>
      </c>
      <c r="J6" s="25" t="s">
        <v>426</v>
      </c>
      <c r="K6" s="26"/>
      <c r="L6" s="27">
        <f>K$5*(F22/(F21+F22))</f>
        <v>0</v>
      </c>
      <c r="N6" s="24" t="s">
        <v>244</v>
      </c>
      <c r="O6" s="22">
        <f>'Reductions to net capex'!O6</f>
        <v>0</v>
      </c>
      <c r="P6" s="23"/>
    </row>
    <row r="7" spans="1:16">
      <c r="F7" s="24" t="s">
        <v>550</v>
      </c>
      <c r="G7" s="22">
        <f>C40+F40+I40+C50+F50-O7</f>
        <v>61.909550484972527</v>
      </c>
      <c r="H7" s="23">
        <f>G7/SUM($G$6:$G$10)</f>
        <v>0.10861090913673016</v>
      </c>
      <c r="N7" s="24" t="s">
        <v>550</v>
      </c>
      <c r="O7" s="22">
        <f>'Reductions to net capex'!O7</f>
        <v>0</v>
      </c>
      <c r="P7" s="23"/>
    </row>
    <row r="8" spans="1:16">
      <c r="F8" s="24" t="s">
        <v>245</v>
      </c>
      <c r="G8" s="22">
        <f>C41+F41+I41+C51+F51-O8</f>
        <v>141.50356451721618</v>
      </c>
      <c r="H8" s="23">
        <f>G8/SUM($G$6:$G$10)</f>
        <v>0.24824652525999713</v>
      </c>
      <c r="N8" s="24" t="s">
        <v>245</v>
      </c>
      <c r="O8" s="22">
        <f>'Reductions to net capex'!O8</f>
        <v>0</v>
      </c>
      <c r="P8" s="23"/>
    </row>
    <row r="9" spans="1:16">
      <c r="F9" s="24" t="s">
        <v>427</v>
      </c>
      <c r="G9" s="22">
        <f>'Calc-Drivers'!E32*(C42+F42+I42+C52+F52-L5-O9)</f>
        <v>149.89505700310491</v>
      </c>
      <c r="H9" s="23">
        <f>G9/SUM($G$6:$G$10)</f>
        <v>0.26296812509018236</v>
      </c>
      <c r="N9" s="24" t="s">
        <v>427</v>
      </c>
      <c r="O9" s="22">
        <f>'Reductions to net capex'!O9</f>
        <v>0</v>
      </c>
      <c r="P9" s="23"/>
    </row>
    <row r="10" spans="1:16">
      <c r="F10" s="25" t="s">
        <v>506</v>
      </c>
      <c r="G10" s="26">
        <f>'Calc-Drivers'!E32*(C43+F43+I43+C53+F53-L6-O10)</f>
        <v>85.580736361918184</v>
      </c>
      <c r="H10" s="27">
        <f>G10/SUM($G$6:$G$10)</f>
        <v>0.15013841173204701</v>
      </c>
      <c r="N10" s="25" t="s">
        <v>506</v>
      </c>
      <c r="O10" s="26">
        <f>'Reductions to net capex'!O10</f>
        <v>0</v>
      </c>
      <c r="P10" s="27"/>
    </row>
    <row r="12" spans="1:16" ht="12" customHeight="1"/>
    <row r="13" spans="1:16">
      <c r="A13" s="1" t="s">
        <v>848</v>
      </c>
    </row>
    <row r="15" spans="1:16" ht="5.25" customHeight="1"/>
    <row r="16" spans="1:16" ht="26.25" customHeight="1">
      <c r="A16" s="30"/>
      <c r="B16" s="1789" t="s">
        <v>849</v>
      </c>
      <c r="C16" s="1794"/>
      <c r="D16" s="30"/>
      <c r="E16" s="1789" t="s">
        <v>850</v>
      </c>
      <c r="F16" s="1794"/>
      <c r="G16" s="30"/>
      <c r="H16" s="1789" t="s">
        <v>851</v>
      </c>
      <c r="I16" s="1794"/>
    </row>
    <row r="17" spans="1:9" ht="45.95" customHeight="1">
      <c r="A17" s="30"/>
      <c r="B17" s="1785" t="s">
        <v>852</v>
      </c>
      <c r="C17" s="1795"/>
      <c r="D17" s="30"/>
      <c r="E17" s="1785" t="s">
        <v>853</v>
      </c>
      <c r="F17" s="1795"/>
      <c r="G17" s="30"/>
      <c r="H17" s="1785" t="s">
        <v>854</v>
      </c>
      <c r="I17" s="1795"/>
    </row>
    <row r="18" spans="1:9" ht="12.75" customHeight="1">
      <c r="B18" s="24"/>
      <c r="C18" s="23"/>
      <c r="E18" s="24"/>
      <c r="F18" s="23"/>
      <c r="H18" s="24"/>
      <c r="I18" s="23"/>
    </row>
    <row r="19" spans="1:9" ht="12" customHeight="1">
      <c r="B19" s="24" t="s">
        <v>244</v>
      </c>
      <c r="C19" s="23">
        <f>IF(Inputs!$A$20=1,C87,IF(Inputs!$A$20=2,C66,#VALUE!))</f>
        <v>13.977952788739572</v>
      </c>
      <c r="E19" s="24" t="s">
        <v>244</v>
      </c>
      <c r="F19" s="23">
        <f>SUM('FBPQ LR4'!D11:M11)</f>
        <v>9.6160987223913477</v>
      </c>
      <c r="H19" s="24" t="s">
        <v>244</v>
      </c>
      <c r="I19" s="23">
        <f>SUM('FBPQ LR6'!C28:L28)</f>
        <v>0</v>
      </c>
    </row>
    <row r="20" spans="1:9" ht="12" customHeight="1">
      <c r="B20" s="24" t="s">
        <v>245</v>
      </c>
      <c r="C20" s="23">
        <f>IF(Inputs!$A$20=1,C88,IF(Inputs!$A$20=2,C67,#VALUE!))</f>
        <v>15.040764857794471</v>
      </c>
      <c r="E20" s="24" t="s">
        <v>245</v>
      </c>
      <c r="F20" s="23">
        <f>SUM('FBPQ LR4'!D12:M12)</f>
        <v>27.993636127216334</v>
      </c>
      <c r="H20" s="24" t="s">
        <v>245</v>
      </c>
      <c r="I20" s="23">
        <f>SUM('FBPQ LR6'!C29:L29)</f>
        <v>0.26316250325017254</v>
      </c>
    </row>
    <row r="21" spans="1:9">
      <c r="B21" s="24" t="s">
        <v>427</v>
      </c>
      <c r="C21" s="23">
        <f>IF(Inputs!$A$20=1,C89,IF(Inputs!$A$20=2,C68,#VALUE!))</f>
        <v>3.2265571800000004</v>
      </c>
      <c r="E21" s="24" t="s">
        <v>427</v>
      </c>
      <c r="F21" s="23">
        <f>SUM('FBPQ LR4'!D13:M13)</f>
        <v>37.034450760039064</v>
      </c>
      <c r="H21" s="24" t="s">
        <v>427</v>
      </c>
      <c r="I21" s="23">
        <f>SUM('FBPQ LR6'!C30:L30)</f>
        <v>7.5971755475000009</v>
      </c>
    </row>
    <row r="22" spans="1:9">
      <c r="B22" s="25" t="s">
        <v>506</v>
      </c>
      <c r="C22" s="27">
        <f>IF(Inputs!$A$20=1,C90,IF(Inputs!$A$20=2,C69,#VALUE!))</f>
        <v>0</v>
      </c>
      <c r="E22" s="25" t="s">
        <v>506</v>
      </c>
      <c r="F22" s="27">
        <f>SUM('FBPQ LR4'!D14:M14)</f>
        <v>42.937258054225005</v>
      </c>
      <c r="H22" s="25" t="s">
        <v>506</v>
      </c>
      <c r="I22" s="27">
        <f>SUM('FBPQ LR6'!C31:L31)</f>
        <v>2.06</v>
      </c>
    </row>
    <row r="25" spans="1:9" s="30" customFormat="1" ht="36.950000000000003" customHeight="1">
      <c r="B25" s="1789" t="s">
        <v>855</v>
      </c>
      <c r="C25" s="1794"/>
      <c r="E25" s="1791" t="s">
        <v>856</v>
      </c>
      <c r="F25" s="1792"/>
    </row>
    <row r="26" spans="1:9" s="30" customFormat="1" ht="27.75" customHeight="1">
      <c r="B26" s="1785" t="s">
        <v>857</v>
      </c>
      <c r="C26" s="1795"/>
      <c r="E26" s="1787" t="s">
        <v>858</v>
      </c>
      <c r="F26" s="1788"/>
    </row>
    <row r="27" spans="1:9">
      <c r="B27" s="24"/>
      <c r="C27" s="23"/>
      <c r="E27" s="24"/>
      <c r="F27" s="23"/>
    </row>
    <row r="28" spans="1:9">
      <c r="B28" s="24" t="s">
        <v>244</v>
      </c>
      <c r="C28" s="23">
        <f>SUM('FBPQ NL1'!D10:M16)</f>
        <v>107.52930663380528</v>
      </c>
      <c r="E28" s="24" t="s">
        <v>244</v>
      </c>
      <c r="F28" s="23">
        <f>SUM('NL9 - Legal &amp; Safety'!D33:M33,'NL9 - Legal &amp; Safety'!D42:M42)</f>
        <v>0</v>
      </c>
    </row>
    <row r="29" spans="1:9">
      <c r="B29" s="24" t="s">
        <v>245</v>
      </c>
      <c r="C29" s="23">
        <f>SUM('FBPQ NL1'!D17:M22)</f>
        <v>160.1155515139277</v>
      </c>
      <c r="E29" s="24" t="s">
        <v>245</v>
      </c>
      <c r="F29" s="23">
        <f>SUM('NL9 - Legal &amp; Safety'!D34:M34,'NL9 - Legal &amp; Safety'!D43:M43)</f>
        <v>0</v>
      </c>
    </row>
    <row r="30" spans="1:9">
      <c r="B30" s="24" t="s">
        <v>427</v>
      </c>
      <c r="C30" s="23">
        <f>SUM('FBPQ NL1'!D23:M28)</f>
        <v>117.24533155495951</v>
      </c>
      <c r="E30" s="24" t="s">
        <v>427</v>
      </c>
      <c r="F30" s="23">
        <f>SUM('NL9 - Legal &amp; Safety'!D35:M35,'NL9 - Legal &amp; Safety'!D44:M44)</f>
        <v>0</v>
      </c>
    </row>
    <row r="31" spans="1:9">
      <c r="B31" s="25" t="s">
        <v>506</v>
      </c>
      <c r="C31" s="27">
        <f>SUM('FBPQ NL1'!D29:M34)</f>
        <v>49.266560084790626</v>
      </c>
      <c r="E31" s="25" t="s">
        <v>506</v>
      </c>
      <c r="F31" s="27">
        <f>SUM('NL9 - Legal &amp; Safety'!D36:M36,'NL9 - Legal &amp; Safety'!D45:M45)</f>
        <v>0</v>
      </c>
    </row>
    <row r="33" spans="1:10" s="1" customFormat="1">
      <c r="A33" s="1" t="s">
        <v>859</v>
      </c>
    </row>
    <row r="35" spans="1:10" ht="5.25" customHeight="1"/>
    <row r="36" spans="1:10" s="30" customFormat="1" ht="51" customHeight="1">
      <c r="B36" s="1789" t="s">
        <v>849</v>
      </c>
      <c r="C36" s="1790"/>
      <c r="D36" s="34"/>
      <c r="E36" s="1789" t="s">
        <v>850</v>
      </c>
      <c r="F36" s="1790"/>
      <c r="G36" s="34"/>
      <c r="H36" s="1789" t="s">
        <v>851</v>
      </c>
      <c r="I36" s="1790"/>
      <c r="J36" s="34"/>
    </row>
    <row r="37" spans="1:10" s="30" customFormat="1" ht="51" customHeight="1">
      <c r="B37" s="1785" t="s">
        <v>852</v>
      </c>
      <c r="C37" s="1786"/>
      <c r="D37" s="35"/>
      <c r="E37" s="1785" t="s">
        <v>853</v>
      </c>
      <c r="F37" s="1786"/>
      <c r="G37" s="35"/>
      <c r="H37" s="1785" t="s">
        <v>854</v>
      </c>
      <c r="I37" s="1786"/>
      <c r="J37" s="35"/>
    </row>
    <row r="38" spans="1:10" ht="12.75" customHeight="1">
      <c r="B38" s="24"/>
      <c r="C38" s="22"/>
      <c r="D38" s="23"/>
      <c r="E38" s="24"/>
      <c r="F38" s="22"/>
      <c r="G38" s="23"/>
      <c r="H38" s="24"/>
      <c r="I38" s="22"/>
      <c r="J38" s="23"/>
    </row>
    <row r="39" spans="1:10">
      <c r="B39" s="24" t="s">
        <v>244</v>
      </c>
      <c r="C39" s="22">
        <f>IF(Inputs!$A$20=1,C96,IF(Inputs!$A$20=2,C75,#VALUE!))</f>
        <v>13.977952788739572</v>
      </c>
      <c r="D39" s="23"/>
      <c r="E39" s="24" t="s">
        <v>244</v>
      </c>
      <c r="F39" s="22">
        <f>SUM('FBPQ LR4'!D11:M11)</f>
        <v>9.6160987223913477</v>
      </c>
      <c r="G39" s="23"/>
      <c r="H39" s="24" t="s">
        <v>244</v>
      </c>
      <c r="I39" s="22">
        <f>SUM('FBPQ LR6'!C28:L28)</f>
        <v>0</v>
      </c>
      <c r="J39" s="23"/>
    </row>
    <row r="40" spans="1:10">
      <c r="B40" s="24" t="s">
        <v>550</v>
      </c>
      <c r="C40" s="22">
        <f>IF(Inputs!$A$20=1,C97,IF(Inputs!$A$20=2,C76,#VALUE!))</f>
        <v>5.8777038229362475</v>
      </c>
      <c r="D40" s="23" t="s">
        <v>860</v>
      </c>
      <c r="E40" s="24" t="s">
        <v>550</v>
      </c>
      <c r="F40" s="22">
        <f>SUM('FBPQ LR4'!D12:M12)*(C55)</f>
        <v>10.9394903542793</v>
      </c>
      <c r="G40" s="23" t="s">
        <v>860</v>
      </c>
      <c r="H40" s="24" t="s">
        <v>550</v>
      </c>
      <c r="I40" s="22">
        <f>SUM('FBPQ LR6'!C29:L29)*(C55)</f>
        <v>0.10283993307730151</v>
      </c>
      <c r="J40" s="23" t="s">
        <v>860</v>
      </c>
    </row>
    <row r="41" spans="1:10">
      <c r="B41" s="24" t="s">
        <v>245</v>
      </c>
      <c r="C41" s="22">
        <f>IF(Inputs!$A$20=1,C98,IF(Inputs!$A$20=2,C77,#VALUE!))</f>
        <v>9.1630610348582238</v>
      </c>
      <c r="D41" s="23"/>
      <c r="E41" s="24" t="s">
        <v>245</v>
      </c>
      <c r="F41" s="22">
        <f>SUM('FBPQ LR4'!D12:M12)*(1-C55)</f>
        <v>17.054145772937034</v>
      </c>
      <c r="G41" s="23"/>
      <c r="H41" s="24" t="s">
        <v>245</v>
      </c>
      <c r="I41" s="22">
        <f>SUM('FBPQ LR6'!C29:L29)*(1-C55)</f>
        <v>0.16032257017287105</v>
      </c>
      <c r="J41" s="23"/>
    </row>
    <row r="42" spans="1:10">
      <c r="B42" s="24" t="s">
        <v>427</v>
      </c>
      <c r="C42" s="22">
        <f>IF(Inputs!$A$20=1,C99,IF(Inputs!$A$20=2,C78,#VALUE!))</f>
        <v>3.2265571800000004</v>
      </c>
      <c r="D42" s="23"/>
      <c r="E42" s="24" t="s">
        <v>427</v>
      </c>
      <c r="F42" s="22">
        <f>SUM('FBPQ LR4'!D13:M13)</f>
        <v>37.034450760039064</v>
      </c>
      <c r="G42" s="23"/>
      <c r="H42" s="24" t="s">
        <v>427</v>
      </c>
      <c r="I42" s="22">
        <f>SUM('FBPQ LR6'!C30:L30)</f>
        <v>7.5971755475000009</v>
      </c>
      <c r="J42" s="23"/>
    </row>
    <row r="43" spans="1:10">
      <c r="B43" s="25" t="s">
        <v>506</v>
      </c>
      <c r="C43" s="26">
        <f>IF(Inputs!$A$20=1,C100,IF(Inputs!$A$20=2,C79,#VALUE!))</f>
        <v>0</v>
      </c>
      <c r="D43" s="27"/>
      <c r="E43" s="25" t="s">
        <v>506</v>
      </c>
      <c r="F43" s="26">
        <f>SUM('FBPQ LR4'!D14:M14)</f>
        <v>42.937258054225005</v>
      </c>
      <c r="G43" s="27"/>
      <c r="H43" s="25" t="s">
        <v>506</v>
      </c>
      <c r="I43" s="26">
        <f>SUM('FBPQ LR6'!C31:L31)</f>
        <v>2.06</v>
      </c>
      <c r="J43" s="27"/>
    </row>
    <row r="46" spans="1:10" s="30" customFormat="1" ht="27.75" customHeight="1">
      <c r="B46" s="1789" t="s">
        <v>855</v>
      </c>
      <c r="C46" s="1790"/>
      <c r="D46" s="34"/>
      <c r="E46" s="1791" t="s">
        <v>856</v>
      </c>
      <c r="F46" s="1792"/>
      <c r="H46" s="1791" t="s">
        <v>856</v>
      </c>
      <c r="I46" s="1793"/>
      <c r="J46" s="34"/>
    </row>
    <row r="47" spans="1:10" s="30" customFormat="1" ht="27.75" customHeight="1">
      <c r="B47" s="1785" t="s">
        <v>857</v>
      </c>
      <c r="C47" s="1786"/>
      <c r="D47" s="35"/>
      <c r="E47" s="1787" t="s">
        <v>858</v>
      </c>
      <c r="F47" s="1788"/>
      <c r="H47" s="1785" t="s">
        <v>861</v>
      </c>
      <c r="I47" s="1786"/>
      <c r="J47" s="35"/>
    </row>
    <row r="48" spans="1:10">
      <c r="B48" s="24"/>
      <c r="C48" s="22"/>
      <c r="D48" s="23"/>
      <c r="E48" s="24"/>
      <c r="F48" s="23"/>
      <c r="H48" s="24"/>
      <c r="I48" s="22"/>
      <c r="J48" s="23"/>
    </row>
    <row r="49" spans="2:10">
      <c r="B49" s="24" t="s">
        <v>244</v>
      </c>
      <c r="C49" s="22">
        <f>SUM('FBPQ NL1'!D10:M16)</f>
        <v>107.52930663380528</v>
      </c>
      <c r="D49" s="23"/>
      <c r="E49" s="24" t="s">
        <v>244</v>
      </c>
      <c r="F49" s="23">
        <f>SUM('NL9 - Legal &amp; Safety'!D33:M33,'NL9 - Legal &amp; Safety'!D42:M42)</f>
        <v>0</v>
      </c>
      <c r="H49" s="24" t="s">
        <v>244</v>
      </c>
      <c r="I49" s="22">
        <f>F49+C49</f>
        <v>107.52930663380528</v>
      </c>
      <c r="J49" s="23">
        <f>I49/SUM($I$49:$I$53)</f>
        <v>0.24767392580315786</v>
      </c>
    </row>
    <row r="50" spans="2:10">
      <c r="B50" s="24" t="s">
        <v>550</v>
      </c>
      <c r="C50" s="22">
        <f>SUM('FBPQ NL1'!D21:M22)</f>
        <v>44.989516374679681</v>
      </c>
      <c r="D50" s="23" t="s">
        <v>862</v>
      </c>
      <c r="E50" s="24" t="s">
        <v>550</v>
      </c>
      <c r="F50" s="23">
        <f>SUM('NL9 - Legal &amp; Safety'!D34:M34,'NL9 - Legal &amp; Safety'!D43:M43)*C55</f>
        <v>0</v>
      </c>
      <c r="H50" s="24" t="s">
        <v>550</v>
      </c>
      <c r="I50" s="22">
        <f>F50+C50</f>
        <v>44.989516374679681</v>
      </c>
      <c r="J50" s="23">
        <f>I50/SUM($I$49:$I$53)</f>
        <v>0.10362505338613703</v>
      </c>
    </row>
    <row r="51" spans="2:10">
      <c r="B51" s="24" t="s">
        <v>245</v>
      </c>
      <c r="C51" s="22">
        <f>SUM('FBPQ NL1'!D17:M20)</f>
        <v>115.12603513924806</v>
      </c>
      <c r="D51" s="23"/>
      <c r="E51" s="24" t="s">
        <v>245</v>
      </c>
      <c r="F51" s="23">
        <f>SUM('NL9 - Legal &amp; Safety'!D34:M34,'NL9 - Legal &amp; Safety'!D43:M43)*(1-C55)</f>
        <v>0</v>
      </c>
      <c r="H51" s="24" t="s">
        <v>245</v>
      </c>
      <c r="I51" s="22">
        <f>F51+C51</f>
        <v>115.12603513924806</v>
      </c>
      <c r="J51" s="23">
        <f>I51/SUM($I$49:$I$53)</f>
        <v>0.26517158882270397</v>
      </c>
    </row>
    <row r="52" spans="2:10">
      <c r="B52" s="24" t="s">
        <v>427</v>
      </c>
      <c r="C52" s="22">
        <f>SUM('FBPQ NL1'!D23:M28)</f>
        <v>117.24533155495951</v>
      </c>
      <c r="D52" s="23"/>
      <c r="E52" s="24" t="s">
        <v>427</v>
      </c>
      <c r="F52" s="23">
        <f>SUM('NL9 - Legal &amp; Safety'!D35:M35,'NL9 - Legal &amp; Safety'!D44:M44)</f>
        <v>0</v>
      </c>
      <c r="H52" s="24" t="s">
        <v>427</v>
      </c>
      <c r="I52" s="22">
        <f>F52+C52</f>
        <v>117.24533155495951</v>
      </c>
      <c r="J52" s="23">
        <f>I52/SUM($I$49:$I$53)</f>
        <v>0.2700529972466173</v>
      </c>
    </row>
    <row r="53" spans="2:10">
      <c r="B53" s="25" t="s">
        <v>506</v>
      </c>
      <c r="C53" s="26">
        <f>SUM('FBPQ NL1'!D29:M34)</f>
        <v>49.266560084790626</v>
      </c>
      <c r="D53" s="27"/>
      <c r="E53" s="25" t="s">
        <v>506</v>
      </c>
      <c r="F53" s="27">
        <f>SUM('NL9 - Legal &amp; Safety'!D36:M36,'NL9 - Legal &amp; Safety'!D45:M45)</f>
        <v>0</v>
      </c>
      <c r="H53" s="25" t="s">
        <v>506</v>
      </c>
      <c r="I53" s="26">
        <f>F53+C53</f>
        <v>49.266560084790626</v>
      </c>
      <c r="J53" s="27">
        <f>I53/SUM($I$49:$I$53)</f>
        <v>0.1134764347413838</v>
      </c>
    </row>
    <row r="55" spans="2:10">
      <c r="B55" s="20" t="s">
        <v>863</v>
      </c>
      <c r="C55" s="21">
        <f>C50/C51</f>
        <v>0.39078490213150868</v>
      </c>
    </row>
    <row r="59" spans="2:10" s="1" customFormat="1">
      <c r="B59" s="1" t="s">
        <v>1009</v>
      </c>
    </row>
    <row r="61" spans="2:10">
      <c r="B61" s="2" t="s">
        <v>864</v>
      </c>
    </row>
    <row r="62" spans="2:10">
      <c r="B62" s="2" t="s">
        <v>865</v>
      </c>
    </row>
    <row r="63" spans="2:10">
      <c r="B63" s="2" t="s">
        <v>849</v>
      </c>
    </row>
    <row r="64" spans="2:10">
      <c r="B64" s="3" t="s">
        <v>866</v>
      </c>
    </row>
    <row r="66" spans="2:3">
      <c r="B66" s="2" t="s">
        <v>244</v>
      </c>
      <c r="C66" s="3">
        <f>SUM('FBPQ LR1 - V5 opt3'!D227:M227,'FBPQ LR1 - V5 opt3'!I229:M229)-SUM('FBPQ LR1 - V5 opt3'!D250:M250,'FBPQ LR1 - V5 opt3'!I252:M252)</f>
        <v>0</v>
      </c>
    </row>
    <row r="67" spans="2:3">
      <c r="B67" s="2" t="s">
        <v>245</v>
      </c>
      <c r="C67" s="3">
        <f>(SUM('FBPQ LR1 - V5 opt3'!D231:H231,'FBPQ LR1 - V5 opt3'!I230:M230,'FBPQ LR1 - V5 opt3'!I233:M233)-SUM('FBPQ LR1 - V5 opt3'!D254:H254,'FBPQ LR1 - V5 opt3'!I253:M253,'FBPQ LR1 - V5 opt3'!I256:M256))</f>
        <v>0</v>
      </c>
    </row>
    <row r="68" spans="2:3">
      <c r="B68" s="2" t="s">
        <v>427</v>
      </c>
      <c r="C68" s="3">
        <f>SUM('FBPQ LR1 - V5 opt3'!D235:H235,'FBPQ LR1 - V5 opt3'!I234:M234,'FBPQ LR1 - V5 opt3'!I237:M237)-SUM('FBPQ LR1 - V5 opt3'!D258:H258,'FBPQ LR1 - V5 opt3'!I257:M257,'FBPQ LR1 - V5 opt3'!I260:M260)</f>
        <v>0</v>
      </c>
    </row>
    <row r="69" spans="2:3">
      <c r="B69" s="2" t="s">
        <v>506</v>
      </c>
      <c r="C69" s="3">
        <f>SUM('FBPQ LR1 - V5 opt3'!D239:H239,'FBPQ LR1 - V5 opt3'!I238:M238)-SUM('FBPQ LR1 - V5 opt3'!D262:H262,'FBPQ LR1 - V5 opt3'!I261:M261)</f>
        <v>0</v>
      </c>
    </row>
    <row r="71" spans="2:3">
      <c r="B71" s="2" t="s">
        <v>867</v>
      </c>
    </row>
    <row r="72" spans="2:3">
      <c r="B72" s="2" t="s">
        <v>849</v>
      </c>
    </row>
    <row r="73" spans="2:3">
      <c r="B73" s="3" t="s">
        <v>866</v>
      </c>
    </row>
    <row r="75" spans="2:3">
      <c r="B75" s="2" t="s">
        <v>244</v>
      </c>
      <c r="C75" s="3">
        <f>SUM('FBPQ LR1 - V5 opt3'!D227:M227,'FBPQ LR1 - V5 opt3'!I229:M229)-SUM('FBPQ LR1 - V5 opt3'!D250:M250,'FBPQ LR1 - V5 opt3'!I252:M252)</f>
        <v>0</v>
      </c>
    </row>
    <row r="76" spans="2:3">
      <c r="B76" s="2" t="s">
        <v>550</v>
      </c>
      <c r="C76" s="3">
        <f>(SUM('FBPQ LR1 - V5 opt3'!D231:H231,'FBPQ LR1 - V5 opt3'!I230:M230,'FBPQ LR1 - V5 opt3'!I233:M233)-SUM('FBPQ LR1 - V5 opt3'!D254:H254,'FBPQ LR1 - V5 opt3'!I253:M253,'FBPQ LR1 - V5 opt3'!I256:M256))*(C110)</f>
        <v>0</v>
      </c>
    </row>
    <row r="77" spans="2:3">
      <c r="B77" s="2" t="s">
        <v>245</v>
      </c>
      <c r="C77" s="3">
        <f>(SUM('FBPQ LR1 - V5 opt3'!D231:H231,'FBPQ LR1 - V5 opt3'!I230:M230,'FBPQ LR1 - V5 opt3'!I233:M233)-SUM('FBPQ LR1 - V5 opt3'!D254:H254,'FBPQ LR1 - V5 opt3'!I253:M253,'FBPQ LR1 - V5 opt3'!I256:M256))*(1-C110)</f>
        <v>0</v>
      </c>
    </row>
    <row r="78" spans="2:3">
      <c r="B78" s="2" t="s">
        <v>427</v>
      </c>
      <c r="C78" s="3">
        <f>SUM('FBPQ LR1 - V5 opt3'!D235:H235,'FBPQ LR1 - V5 opt3'!I234:M234,'FBPQ LR1 - V5 opt3'!I237:M237)-SUM('FBPQ LR1 - V5 opt3'!D258:H258,'FBPQ LR1 - V5 opt3'!I257:M257,'FBPQ LR1 - V5 opt3'!I260:M260)</f>
        <v>0</v>
      </c>
    </row>
    <row r="79" spans="2:3">
      <c r="B79" s="2" t="s">
        <v>506</v>
      </c>
      <c r="C79" s="3">
        <f>SUM('FBPQ LR1 - V5 opt3'!D239:H239,'FBPQ LR1 - V5 opt3'!I238:M238)-SUM('FBPQ LR1 - V5 opt3'!D262:H262,'FBPQ LR1 - V5 opt3'!I261:M261)</f>
        <v>0</v>
      </c>
    </row>
    <row r="82" spans="2:3">
      <c r="B82" s="2" t="s">
        <v>868</v>
      </c>
    </row>
    <row r="83" spans="2:3">
      <c r="B83" s="2" t="s">
        <v>865</v>
      </c>
    </row>
    <row r="84" spans="2:3">
      <c r="B84" s="2" t="s">
        <v>849</v>
      </c>
    </row>
    <row r="85" spans="2:3">
      <c r="B85" s="3" t="s">
        <v>866</v>
      </c>
    </row>
    <row r="87" spans="2:3">
      <c r="B87" s="2" t="s">
        <v>244</v>
      </c>
      <c r="C87" s="3">
        <f>SUM('FBPQ LR1'!D82:M82)-SUM('FBPQ LR1'!D110:M110)</f>
        <v>13.977952788739572</v>
      </c>
    </row>
    <row r="88" spans="2:3">
      <c r="B88" s="2" t="s">
        <v>245</v>
      </c>
      <c r="C88" s="3">
        <f>(SUM('FBPQ LR1'!D86:M86)-SUM('FBPQ LR1'!D114:M114))</f>
        <v>15.040764857794471</v>
      </c>
    </row>
    <row r="89" spans="2:3">
      <c r="B89" s="2" t="s">
        <v>427</v>
      </c>
      <c r="C89" s="3">
        <f>(SUM('FBPQ LR1'!D90:M90)-SUM('FBPQ LR1'!D118:M118))</f>
        <v>3.2265571800000004</v>
      </c>
    </row>
    <row r="90" spans="2:3">
      <c r="B90" s="2" t="s">
        <v>506</v>
      </c>
      <c r="C90" s="3">
        <f>(SUM('FBPQ LR1'!D94:M94)-SUM('FBPQ LR1'!D122:M122))</f>
        <v>0</v>
      </c>
    </row>
    <row r="92" spans="2:3">
      <c r="B92" s="2" t="s">
        <v>867</v>
      </c>
    </row>
    <row r="93" spans="2:3">
      <c r="B93" s="2" t="s">
        <v>849</v>
      </c>
    </row>
    <row r="94" spans="2:3">
      <c r="B94" s="3" t="s">
        <v>866</v>
      </c>
    </row>
    <row r="96" spans="2:3">
      <c r="B96" s="2" t="s">
        <v>244</v>
      </c>
      <c r="C96" s="3">
        <f>SUM('FBPQ LR1'!D82:M82)-SUM('FBPQ LR1'!D110:M110)</f>
        <v>13.977952788739572</v>
      </c>
    </row>
    <row r="97" spans="2:3">
      <c r="B97" s="2" t="s">
        <v>550</v>
      </c>
      <c r="C97" s="3">
        <f>(SUM('FBPQ LR1'!D86:M86)-SUM('FBPQ LR1'!D114:M114))*C110</f>
        <v>5.8777038229362475</v>
      </c>
    </row>
    <row r="98" spans="2:3">
      <c r="B98" s="2" t="s">
        <v>245</v>
      </c>
      <c r="C98" s="3">
        <f>(SUM('FBPQ LR1'!D86:M86)-SUM('FBPQ LR1'!D114:M114))*(1-C110)</f>
        <v>9.1630610348582238</v>
      </c>
    </row>
    <row r="99" spans="2:3">
      <c r="B99" s="2" t="s">
        <v>427</v>
      </c>
      <c r="C99" s="3">
        <f>(SUM('FBPQ LR1'!D90:M90)-SUM('FBPQ LR1'!D118:M118))</f>
        <v>3.2265571800000004</v>
      </c>
    </row>
    <row r="100" spans="2:3">
      <c r="B100" s="2" t="s">
        <v>506</v>
      </c>
      <c r="C100" s="3">
        <f>(SUM('FBPQ LR1'!D94:M94)-SUM('FBPQ LR1'!D122:M122))</f>
        <v>0</v>
      </c>
    </row>
    <row r="110" spans="2:3">
      <c r="C110" s="2">
        <f>C50/C51</f>
        <v>0.39078490213150868</v>
      </c>
    </row>
  </sheetData>
  <sheetProtection sheet="1" objects="1" scenarios="1"/>
  <mergeCells count="27">
    <mergeCell ref="F3:H3"/>
    <mergeCell ref="J3:L3"/>
    <mergeCell ref="N3:P3"/>
    <mergeCell ref="J4:L4"/>
    <mergeCell ref="N4:P4"/>
    <mergeCell ref="B16:C16"/>
    <mergeCell ref="E16:F16"/>
    <mergeCell ref="H16:I16"/>
    <mergeCell ref="B17:C17"/>
    <mergeCell ref="E17:F17"/>
    <mergeCell ref="H17:I17"/>
    <mergeCell ref="B25:C25"/>
    <mergeCell ref="E25:F25"/>
    <mergeCell ref="B26:C26"/>
    <mergeCell ref="E26:F26"/>
    <mergeCell ref="B36:C36"/>
    <mergeCell ref="E36:F36"/>
    <mergeCell ref="H47:I47"/>
    <mergeCell ref="B47:C47"/>
    <mergeCell ref="E47:F47"/>
    <mergeCell ref="H36:I36"/>
    <mergeCell ref="B37:C37"/>
    <mergeCell ref="E37:F37"/>
    <mergeCell ref="H37:I37"/>
    <mergeCell ref="B46:C46"/>
    <mergeCell ref="E46:F46"/>
    <mergeCell ref="H46:I46"/>
  </mergeCells>
  <phoneticPr fontId="1"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C4"/>
    <pageSetUpPr fitToPage="1"/>
  </sheetPr>
  <dimension ref="A1:BA50"/>
  <sheetViews>
    <sheetView showGridLines="0" workbookViewId="0"/>
  </sheetViews>
  <sheetFormatPr defaultColWidth="12.140625" defaultRowHeight="15"/>
  <cols>
    <col min="1" max="2" width="12.140625" style="2"/>
    <col min="3" max="3" width="54.140625" style="2" bestFit="1" customWidth="1"/>
    <col min="4" max="16384" width="12.140625" style="2"/>
  </cols>
  <sheetData>
    <row r="1" spans="1:53" ht="19.5">
      <c r="A1" s="4" t="str">
        <f>"Calc DNO Opex Allocation for Method M ("&amp;'Calc-Net capex'!B5&amp;") for "&amp;Inputs!B6&amp;" in "&amp;Inputs!C6&amp;"  Status: "&amp;Inputs!D6&amp;""</f>
        <v>Calc DNO Opex Allocation for Method M (LR1) for Northern Powergrid (Yorkshire) in 2017/18  Status: April 2017 - Final Charges</v>
      </c>
    </row>
    <row r="3" spans="1:53" ht="58.5" customHeight="1">
      <c r="D3" s="2" t="s">
        <v>869</v>
      </c>
      <c r="K3" s="2" t="s">
        <v>870</v>
      </c>
      <c r="S3" s="2" t="s">
        <v>871</v>
      </c>
      <c r="Z3" s="2" t="s">
        <v>872</v>
      </c>
      <c r="AG3" s="2" t="s">
        <v>873</v>
      </c>
      <c r="AL3" s="2" t="s">
        <v>874</v>
      </c>
    </row>
    <row r="4" spans="1:53" ht="28.5" customHeight="1">
      <c r="E4" s="2" t="s">
        <v>875</v>
      </c>
      <c r="K4" s="2" t="s">
        <v>876</v>
      </c>
      <c r="S4" s="2" t="s">
        <v>877</v>
      </c>
      <c r="Z4" s="2" t="s">
        <v>878</v>
      </c>
      <c r="AG4" s="2" t="s">
        <v>879</v>
      </c>
      <c r="AL4" s="2" t="s">
        <v>880</v>
      </c>
      <c r="AQ4" s="2" t="s">
        <v>881</v>
      </c>
      <c r="AX4" s="2" t="s">
        <v>882</v>
      </c>
    </row>
    <row r="5" spans="1:53" ht="67.5" customHeight="1">
      <c r="D5" s="2" t="s">
        <v>883</v>
      </c>
      <c r="E5" s="2" t="s">
        <v>884</v>
      </c>
      <c r="I5" s="2" t="s">
        <v>885</v>
      </c>
      <c r="K5" s="2" t="s">
        <v>886</v>
      </c>
      <c r="L5" s="2" t="s">
        <v>887</v>
      </c>
      <c r="AL5" s="2" t="s">
        <v>888</v>
      </c>
      <c r="AM5" s="2" t="s">
        <v>889</v>
      </c>
      <c r="AN5" s="2" t="s">
        <v>890</v>
      </c>
      <c r="AQ5" s="2" t="s">
        <v>427</v>
      </c>
      <c r="AR5" s="2" t="s">
        <v>245</v>
      </c>
      <c r="AS5" s="2" t="s">
        <v>53</v>
      </c>
      <c r="AT5" s="2" t="s">
        <v>466</v>
      </c>
      <c r="AU5" s="2" t="s">
        <v>891</v>
      </c>
      <c r="AX5" s="2" t="s">
        <v>427</v>
      </c>
      <c r="AY5" s="2" t="s">
        <v>245</v>
      </c>
      <c r="AZ5" s="2" t="s">
        <v>53</v>
      </c>
      <c r="BA5" s="2" t="s">
        <v>244</v>
      </c>
    </row>
    <row r="6" spans="1:53">
      <c r="E6" s="2" t="s">
        <v>427</v>
      </c>
      <c r="F6" s="2" t="s">
        <v>245</v>
      </c>
      <c r="G6" s="2" t="s">
        <v>53</v>
      </c>
      <c r="H6" s="2" t="s">
        <v>244</v>
      </c>
      <c r="L6" s="2" t="s">
        <v>427</v>
      </c>
      <c r="M6" s="2" t="s">
        <v>245</v>
      </c>
      <c r="N6" s="2" t="s">
        <v>53</v>
      </c>
      <c r="O6" s="2" t="s">
        <v>466</v>
      </c>
      <c r="P6" s="2" t="s">
        <v>891</v>
      </c>
      <c r="S6" s="2" t="s">
        <v>427</v>
      </c>
      <c r="T6" s="2" t="s">
        <v>245</v>
      </c>
      <c r="U6" s="2" t="s">
        <v>53</v>
      </c>
      <c r="V6" s="2" t="s">
        <v>466</v>
      </c>
      <c r="W6" s="2" t="s">
        <v>891</v>
      </c>
      <c r="Z6" s="2" t="s">
        <v>427</v>
      </c>
      <c r="AA6" s="2" t="s">
        <v>245</v>
      </c>
      <c r="AB6" s="2" t="s">
        <v>53</v>
      </c>
      <c r="AC6" s="2" t="s">
        <v>466</v>
      </c>
      <c r="AD6" s="2" t="s">
        <v>891</v>
      </c>
      <c r="AG6" s="2" t="s">
        <v>427</v>
      </c>
      <c r="AH6" s="2" t="s">
        <v>245</v>
      </c>
      <c r="AI6" s="2" t="s">
        <v>53</v>
      </c>
      <c r="AJ6" s="2" t="s">
        <v>466</v>
      </c>
    </row>
    <row r="7" spans="1:53" ht="12.75" customHeight="1">
      <c r="A7" s="2" t="s">
        <v>553</v>
      </c>
      <c r="B7" s="2" t="s">
        <v>892</v>
      </c>
      <c r="C7" s="2" t="s">
        <v>570</v>
      </c>
      <c r="E7" s="2">
        <f>MAX(0,'Calc-Net capex'!C21+'Calc-Net capex'!C22)/10+'RRP 2.4'!L18+'RRP 2.4'!L19</f>
        <v>14.622655718000001</v>
      </c>
      <c r="F7" s="2">
        <f>MAX(0,'Calc-Net capex'!C20)/10+'RRP 2.4'!L17</f>
        <v>3.7040764857794475</v>
      </c>
      <c r="H7" s="2">
        <f>MAX(0,'Calc-Net capex'!C19)/10+'RRP 2.4'!L16</f>
        <v>2.0977952788739573</v>
      </c>
      <c r="I7" s="2">
        <v>0</v>
      </c>
      <c r="K7" s="2" t="s">
        <v>893</v>
      </c>
      <c r="L7" s="2">
        <f>IF(ISERROR(VLOOKUP($K7,'Calc-Drivers'!$B$17:$G$27,L$43,FALSE))," ",VLOOKUP($K7,'Calc-Drivers'!$B$17:$G$27,L$43,FALSE))</f>
        <v>0.11775451850610677</v>
      </c>
      <c r="M7" s="2">
        <f>IF(ISERROR(VLOOKUP($K7,'Calc-Drivers'!$B$17:$G$27,M$43,FALSE))," ",VLOOKUP($K7,'Calc-Drivers'!$B$17:$G$27,M$43,FALSE))</f>
        <v>0.24413109909245481</v>
      </c>
      <c r="N7" s="2">
        <f>IF(ISERROR(VLOOKUP($K7,'Calc-Drivers'!$B$17:$G$27,N$43,FALSE))," ",VLOOKUP($K7,'Calc-Drivers'!$B$17:$G$27,N$43,FALSE))</f>
        <v>6.3065306121152284E-2</v>
      </c>
      <c r="O7" s="2">
        <f>IF(ISERROR(VLOOKUP($K7,'Calc-Drivers'!$B$17:$G$27,O$43,FALSE))," ",VLOOKUP($K7,'Calc-Drivers'!$B$17:$G$27,O$43,FALSE))</f>
        <v>0.17162533440494615</v>
      </c>
      <c r="P7" s="2">
        <f>IF(ISERROR(VLOOKUP($K7,'Calc-Drivers'!$B$17:$G$27,P$43,FALSE))," ",VLOOKUP($K7,'Calc-Drivers'!$B$17:$G$27,P$43,FALSE))</f>
        <v>0.40342374187534008</v>
      </c>
      <c r="S7" s="2">
        <f t="shared" ref="S7:W7" si="0">IF(ISERROR($I7*L7)," ",$I7*L7)</f>
        <v>0</v>
      </c>
      <c r="T7" s="2">
        <f t="shared" si="0"/>
        <v>0</v>
      </c>
      <c r="U7" s="2">
        <f t="shared" si="0"/>
        <v>0</v>
      </c>
      <c r="V7" s="2">
        <f t="shared" si="0"/>
        <v>0</v>
      </c>
      <c r="W7" s="2">
        <f t="shared" si="0"/>
        <v>0</v>
      </c>
      <c r="Z7" s="2">
        <f t="shared" ref="Z7:AB7" si="1">IF($K7="Do not allocate"," ",S7+E7)</f>
        <v>14.622655718000001</v>
      </c>
      <c r="AA7" s="2">
        <f t="shared" si="1"/>
        <v>3.7040764857794475</v>
      </c>
      <c r="AB7" s="2">
        <f t="shared" si="1"/>
        <v>0</v>
      </c>
      <c r="AC7" s="2">
        <f t="shared" ref="AC7:AD7" si="2">IF($K7="Do not allocate"," ",($H7*O7/($O7+$P7)+V7))</f>
        <v>0.62609406935969869</v>
      </c>
      <c r="AD7" s="2">
        <f t="shared" si="2"/>
        <v>1.4717012095142585</v>
      </c>
      <c r="AG7" s="2">
        <f>IF(ISERROR(Z7*100000000/'Calc-Units'!$E$23)," ",Z7*100000000/'Calc-Units'!$E$23)</f>
        <v>8.7409868536459226E-2</v>
      </c>
      <c r="AH7" s="2">
        <f>IF(ISERROR(AA7*100000000/'Calc-Units'!$D$23)," ",AA7*100000000/'Calc-Units'!$D$23)</f>
        <v>2.5389614196437114E-2</v>
      </c>
      <c r="AI7" s="2">
        <f>IF(ISERROR(AB7*100000000/'Calc-Units'!$C$23)," ",AB7*100000000/'Calc-Units'!$C$23)</f>
        <v>0</v>
      </c>
      <c r="AJ7" s="2">
        <f>IF(ISERROR(AC7*100000000/'Calc-Units'!$C$23)," ",AC7*100000000/'Calc-Units'!$C$23)</f>
        <v>5.5020437932008E-3</v>
      </c>
      <c r="AL7" s="2">
        <v>1</v>
      </c>
      <c r="AM7" s="2">
        <f t="shared" ref="AM7" si="3">AL7*D7</f>
        <v>0</v>
      </c>
      <c r="AN7" s="2">
        <f t="shared" ref="AN7" si="4">D7*(1-AL7)</f>
        <v>0</v>
      </c>
      <c r="AQ7" s="2">
        <f>IF(ISERROR(Z7*(1-$AL7))," ",Z7*(1-$AL7))</f>
        <v>0</v>
      </c>
      <c r="AR7" s="2">
        <f>IF(ISERROR(AA7*(1-$AL7))," ",AA7*(1-$AL7))</f>
        <v>0</v>
      </c>
      <c r="AS7" s="2">
        <f>IF(ISERROR(AB7*(1-$AL7))," ",AB7*(1-$AL7))</f>
        <v>0</v>
      </c>
      <c r="AT7" s="2">
        <f>IF(ISERROR(AC7*(1-$AL7))," ",AC7*(1-$AL7))</f>
        <v>0</v>
      </c>
      <c r="AU7" s="2">
        <f>IF(ISERROR(AD7*(1-$AL7))," ",AD7*(1-$AL7))</f>
        <v>0</v>
      </c>
      <c r="AX7" s="2">
        <f>IF(ISERROR(AQ7*100000000/'Calc-Units'!$E$23)," ",AQ7*100000000/'Calc-Units'!$E$23)</f>
        <v>0</v>
      </c>
      <c r="AY7" s="2">
        <f>IF(ISERROR(AR7*100000000/'Calc-Units'!$D$23)," ",AR7*100000000/'Calc-Units'!$D$23)</f>
        <v>0</v>
      </c>
      <c r="AZ7" s="2">
        <f>IF(ISERROR(AS7*100000000/'Calc-Units'!$C$23)," ",AS7*100000000/'Calc-Units'!$C$23)</f>
        <v>0</v>
      </c>
      <c r="BA7" s="2">
        <f>IF(ISERROR(AT7*100000000/'Calc-Units'!$C$23)," ",AT7*100000000/'Calc-Units'!$C$23)</f>
        <v>0</v>
      </c>
    </row>
    <row r="8" spans="1:53" ht="12.75" customHeight="1">
      <c r="C8" s="2" t="s">
        <v>571</v>
      </c>
      <c r="D8" s="2">
        <f>'RRP 1.3'!E$12</f>
        <v>37.5</v>
      </c>
      <c r="E8" s="2">
        <f>SUM('RRP 2.4'!G44:G55)+'RRP 2.4'!G71+'RRP 2.4'!H71</f>
        <v>9.0000000000000018</v>
      </c>
      <c r="F8" s="2">
        <f>SUM('RRP 2.4'!G38:G40)+'RRP 2.4'!F71</f>
        <v>11.3</v>
      </c>
      <c r="G8" s="2">
        <f>'RRP 2.4'!G41+'RRP 2.4'!G42+'RRP 2.4'!G43</f>
        <v>6.1999999999999993</v>
      </c>
      <c r="H8" s="2">
        <f>SUM('RRP 2.4'!G31:G37)+'RRP 2.4'!E71</f>
        <v>11</v>
      </c>
      <c r="I8" s="2">
        <f t="shared" ref="I8:I40" si="5">D8-E8-F8-G8-H8</f>
        <v>0</v>
      </c>
      <c r="K8" s="2" t="s">
        <v>893</v>
      </c>
      <c r="L8" s="2">
        <f>IF(ISERROR(VLOOKUP($K8,'Calc-Drivers'!$B$17:$G$27,L$43,FALSE))," ",VLOOKUP($K8,'Calc-Drivers'!$B$17:$G$27,L$43,FALSE))</f>
        <v>0.11775451850610677</v>
      </c>
      <c r="M8" s="2">
        <f>IF(ISERROR(VLOOKUP($K8,'Calc-Drivers'!$B$17:$G$27,M$43,FALSE))," ",VLOOKUP($K8,'Calc-Drivers'!$B$17:$G$27,M$43,FALSE))</f>
        <v>0.24413109909245481</v>
      </c>
      <c r="N8" s="2">
        <f>IF(ISERROR(VLOOKUP($K8,'Calc-Drivers'!$B$17:$G$27,N$43,FALSE))," ",VLOOKUP($K8,'Calc-Drivers'!$B$17:$G$27,N$43,FALSE))</f>
        <v>6.3065306121152284E-2</v>
      </c>
      <c r="O8" s="2">
        <f>IF(ISERROR(VLOOKUP($K8,'Calc-Drivers'!$B$17:$G$27,O$43,FALSE))," ",VLOOKUP($K8,'Calc-Drivers'!$B$17:$G$27,O$43,FALSE))</f>
        <v>0.17162533440494615</v>
      </c>
      <c r="P8" s="2">
        <f>IF(ISERROR(VLOOKUP($K8,'Calc-Drivers'!$B$17:$G$27,P$43,FALSE))," ",VLOOKUP($K8,'Calc-Drivers'!$B$17:$G$27,P$43,FALSE))</f>
        <v>0.40342374187534008</v>
      </c>
      <c r="S8" s="2">
        <f t="shared" ref="S8:W39" si="6">IF(ISERROR($I8*L8)," ",$I8*L8)</f>
        <v>0</v>
      </c>
      <c r="T8" s="2">
        <f t="shared" si="6"/>
        <v>0</v>
      </c>
      <c r="U8" s="2">
        <f t="shared" si="6"/>
        <v>0</v>
      </c>
      <c r="V8" s="2">
        <f t="shared" si="6"/>
        <v>0</v>
      </c>
      <c r="W8" s="2">
        <f t="shared" si="6"/>
        <v>0</v>
      </c>
      <c r="Z8" s="2">
        <f t="shared" ref="Z8:AB39" si="7">IF($K8="Do not allocate"," ",S8+E8)</f>
        <v>9.0000000000000018</v>
      </c>
      <c r="AA8" s="2">
        <f t="shared" si="7"/>
        <v>11.3</v>
      </c>
      <c r="AB8" s="2">
        <f t="shared" si="7"/>
        <v>6.1999999999999993</v>
      </c>
      <c r="AC8" s="2">
        <f t="shared" ref="AC8:AD39" si="8">IF($K8="Do not allocate"," ",($H8*O8/($O8+$P8)+V8))</f>
        <v>3.2829870637584184</v>
      </c>
      <c r="AD8" s="2">
        <f t="shared" si="8"/>
        <v>7.7170129362415816</v>
      </c>
      <c r="AG8" s="2">
        <f>IF(ISERROR(Z8*100000000/'Calc-Units'!$E$23)," ",Z8*100000000/'Calc-Units'!$E$23)</f>
        <v>5.379931197174706E-2</v>
      </c>
      <c r="AH8" s="2">
        <f>IF(ISERROR(AA8*100000000/'Calc-Units'!$D$23)," ",AA8*100000000/'Calc-Units'!$D$23)</f>
        <v>7.7455916885411341E-2</v>
      </c>
      <c r="AI8" s="2">
        <f>IF(ISERROR(AB8*100000000/'Calc-Units'!$C$23)," ",AB8*100000000/'Calc-Units'!$C$23)</f>
        <v>5.4484898016573947E-2</v>
      </c>
      <c r="AJ8" s="2">
        <f>IF(ISERROR(AC8*100000000/'Calc-Units'!$C$23)," ",AC8*100000000/'Calc-Units'!$C$23)</f>
        <v>2.8850518606227258E-2</v>
      </c>
      <c r="AL8" s="2">
        <v>1</v>
      </c>
      <c r="AM8" s="2">
        <f t="shared" ref="AM8:AM39" si="9">AL8*D8</f>
        <v>37.5</v>
      </c>
      <c r="AN8" s="2">
        <f t="shared" ref="AN8:AN39" si="10">D8*(1-AL8)</f>
        <v>0</v>
      </c>
      <c r="AQ8" s="2">
        <f t="shared" ref="AQ8:AU39" si="11">IF(ISERROR(Z8*(1-$AL8))," ",Z8*(1-$AL8))</f>
        <v>0</v>
      </c>
      <c r="AR8" s="2">
        <f t="shared" si="11"/>
        <v>0</v>
      </c>
      <c r="AS8" s="2">
        <f t="shared" si="11"/>
        <v>0</v>
      </c>
      <c r="AT8" s="2">
        <f t="shared" si="11"/>
        <v>0</v>
      </c>
      <c r="AU8" s="2">
        <f t="shared" si="11"/>
        <v>0</v>
      </c>
      <c r="AX8" s="2">
        <f>IF(ISERROR(AQ8*100000000/'Calc-Units'!$E$23)," ",AQ8*100000000/'Calc-Units'!$E$23)</f>
        <v>0</v>
      </c>
      <c r="AY8" s="2">
        <f>IF(ISERROR(AR8*100000000/'Calc-Units'!$D$23)," ",AR8*100000000/'Calc-Units'!$D$23)</f>
        <v>0</v>
      </c>
      <c r="AZ8" s="2">
        <f>IF(ISERROR(AS8*100000000/'Calc-Units'!$C$23)," ",AS8*100000000/'Calc-Units'!$C$23)</f>
        <v>0</v>
      </c>
      <c r="BA8" s="2">
        <f>IF(ISERROR(AT8*100000000/'Calc-Units'!$C$23)," ",AT8*100000000/'Calc-Units'!$C$23)</f>
        <v>0</v>
      </c>
    </row>
    <row r="9" spans="1:53">
      <c r="C9" s="2" t="s">
        <v>572</v>
      </c>
      <c r="D9" s="2">
        <f>'RRP 1.3'!F$12</f>
        <v>4.1999999999999993</v>
      </c>
      <c r="E9" s="2">
        <v>0</v>
      </c>
      <c r="F9" s="2">
        <v>0</v>
      </c>
      <c r="G9" s="2">
        <v>0</v>
      </c>
      <c r="H9" s="2">
        <v>0</v>
      </c>
      <c r="I9" s="2">
        <f t="shared" si="5"/>
        <v>4.1999999999999993</v>
      </c>
      <c r="K9" s="2" t="s">
        <v>893</v>
      </c>
      <c r="L9" s="2">
        <f>IF(ISERROR(VLOOKUP($K9,'Calc-Drivers'!$B$17:$G$27,L$43,FALSE))," ",VLOOKUP($K9,'Calc-Drivers'!$B$17:$G$27,L$43,FALSE))</f>
        <v>0.11775451850610677</v>
      </c>
      <c r="M9" s="2">
        <f>IF(ISERROR(VLOOKUP($K9,'Calc-Drivers'!$B$17:$G$27,M$43,FALSE))," ",VLOOKUP($K9,'Calc-Drivers'!$B$17:$G$27,M$43,FALSE))</f>
        <v>0.24413109909245481</v>
      </c>
      <c r="N9" s="2">
        <f>IF(ISERROR(VLOOKUP($K9,'Calc-Drivers'!$B$17:$G$27,N$43,FALSE))," ",VLOOKUP($K9,'Calc-Drivers'!$B$17:$G$27,N$43,FALSE))</f>
        <v>6.3065306121152284E-2</v>
      </c>
      <c r="O9" s="2">
        <f>IF(ISERROR(VLOOKUP($K9,'Calc-Drivers'!$B$17:$G$27,O$43,FALSE))," ",VLOOKUP($K9,'Calc-Drivers'!$B$17:$G$27,O$43,FALSE))</f>
        <v>0.17162533440494615</v>
      </c>
      <c r="P9" s="2">
        <f>IF(ISERROR(VLOOKUP($K9,'Calc-Drivers'!$B$17:$G$27,P$43,FALSE))," ",VLOOKUP($K9,'Calc-Drivers'!$B$17:$G$27,P$43,FALSE))</f>
        <v>0.40342374187534008</v>
      </c>
      <c r="S9" s="2">
        <f t="shared" si="6"/>
        <v>0.49456897772564834</v>
      </c>
      <c r="T9" s="2">
        <f t="shared" si="6"/>
        <v>1.0253506161883101</v>
      </c>
      <c r="U9" s="2">
        <f t="shared" si="6"/>
        <v>0.26487428570883953</v>
      </c>
      <c r="V9" s="2">
        <f t="shared" si="6"/>
        <v>0.72082640450077373</v>
      </c>
      <c r="W9" s="2">
        <f t="shared" si="6"/>
        <v>1.694379715876428</v>
      </c>
      <c r="Z9" s="2">
        <f t="shared" si="7"/>
        <v>0.49456897772564834</v>
      </c>
      <c r="AA9" s="2">
        <f t="shared" si="7"/>
        <v>1.0253506161883101</v>
      </c>
      <c r="AB9" s="2">
        <f t="shared" si="7"/>
        <v>0.26487428570883953</v>
      </c>
      <c r="AC9" s="2">
        <f t="shared" si="8"/>
        <v>0.72082640450077373</v>
      </c>
      <c r="AD9" s="2">
        <f t="shared" si="8"/>
        <v>1.694379715876428</v>
      </c>
      <c r="AG9" s="2">
        <f>IF(ISERROR(Z9*100000000/'Calc-Units'!$E$23)," ",Z9*100000000/'Calc-Units'!$E$23)</f>
        <v>2.9563856360233531E-3</v>
      </c>
      <c r="AH9" s="2">
        <f>IF(ISERROR(AA9*100000000/'Calc-Units'!$D$23)," ",AA9*100000000/'Calc-Units'!$D$23)</f>
        <v>7.0282718677776145E-3</v>
      </c>
      <c r="AI9" s="2">
        <f>IF(ISERROR(AB9*100000000/'Calc-Units'!$C$23)," ",AB9*100000000/'Calc-Units'!$C$23)</f>
        <v>2.3276852329127407E-3</v>
      </c>
      <c r="AJ9" s="2">
        <f>IF(ISERROR(AC9*100000000/'Calc-Units'!$C$23)," ",AC9*100000000/'Calc-Units'!$C$23)</f>
        <v>6.3345408285287643E-3</v>
      </c>
      <c r="AL9" s="2">
        <v>0.23499999999999999</v>
      </c>
      <c r="AM9" s="2">
        <f t="shared" si="9"/>
        <v>0.98699999999999977</v>
      </c>
      <c r="AN9" s="2">
        <f t="shared" si="10"/>
        <v>3.2129999999999996</v>
      </c>
      <c r="AQ9" s="2">
        <f t="shared" si="11"/>
        <v>0.37834526796012097</v>
      </c>
      <c r="AR9" s="2">
        <f t="shared" si="11"/>
        <v>0.78439322138405732</v>
      </c>
      <c r="AS9" s="2">
        <f t="shared" si="11"/>
        <v>0.20262882856726225</v>
      </c>
      <c r="AT9" s="2">
        <f t="shared" si="11"/>
        <v>0.55143219944309196</v>
      </c>
      <c r="AU9" s="2">
        <f t="shared" si="11"/>
        <v>1.2962004826454674</v>
      </c>
      <c r="AX9" s="2">
        <f>IF(ISERROR(AQ9*100000000/'Calc-Units'!$E$23)," ",AQ9*100000000/'Calc-Units'!$E$23)</f>
        <v>2.2616350115578646E-3</v>
      </c>
      <c r="AY9" s="2">
        <f>IF(ISERROR(AR9*100000000/'Calc-Units'!$D$23)," ",AR9*100000000/'Calc-Units'!$D$23)</f>
        <v>5.3766279788498754E-3</v>
      </c>
      <c r="AZ9" s="2">
        <f>IF(ISERROR(AS9*100000000/'Calc-Units'!$C$23)," ",AS9*100000000/'Calc-Units'!$C$23)</f>
        <v>1.7806792031782469E-3</v>
      </c>
      <c r="BA9" s="2">
        <f>IF(ISERROR(AT9*100000000/'Calc-Units'!$C$23)," ",AT9*100000000/'Calc-Units'!$C$23)</f>
        <v>4.8459237338245057E-3</v>
      </c>
    </row>
    <row r="10" spans="1:53">
      <c r="C10" s="2" t="s">
        <v>573</v>
      </c>
      <c r="D10" s="2">
        <f>'RRP 1.3'!G$12</f>
        <v>17.5</v>
      </c>
      <c r="E10" s="2">
        <f>SUM('RRP 2.3'!I20:I27)</f>
        <v>1.6</v>
      </c>
      <c r="F10" s="2">
        <f>SUM('RRP 2.3'!I17:I18)</f>
        <v>4.4000000000000004</v>
      </c>
      <c r="G10" s="2">
        <f>SUM('RRP 2.3'!I19)</f>
        <v>0.5</v>
      </c>
      <c r="H10" s="2">
        <f>SUM('RRP 2.3'!I11:I16)</f>
        <v>9.8999999999999986</v>
      </c>
      <c r="I10" s="2">
        <f t="shared" si="5"/>
        <v>1.1000000000000014</v>
      </c>
      <c r="K10" s="2" t="s">
        <v>893</v>
      </c>
      <c r="L10" s="2">
        <f>IF(ISERROR(VLOOKUP($K10,'Calc-Drivers'!$B$17:$G$27,L$43,FALSE))," ",VLOOKUP($K10,'Calc-Drivers'!$B$17:$G$27,L$43,FALSE))</f>
        <v>0.11775451850610677</v>
      </c>
      <c r="M10" s="2">
        <f>IF(ISERROR(VLOOKUP($K10,'Calc-Drivers'!$B$17:$G$27,M$43,FALSE))," ",VLOOKUP($K10,'Calc-Drivers'!$B$17:$G$27,M$43,FALSE))</f>
        <v>0.24413109909245481</v>
      </c>
      <c r="N10" s="2">
        <f>IF(ISERROR(VLOOKUP($K10,'Calc-Drivers'!$B$17:$G$27,N$43,FALSE))," ",VLOOKUP($K10,'Calc-Drivers'!$B$17:$G$27,N$43,FALSE))</f>
        <v>6.3065306121152284E-2</v>
      </c>
      <c r="O10" s="2">
        <f>IF(ISERROR(VLOOKUP($K10,'Calc-Drivers'!$B$17:$G$27,O$43,FALSE))," ",VLOOKUP($K10,'Calc-Drivers'!$B$17:$G$27,O$43,FALSE))</f>
        <v>0.17162533440494615</v>
      </c>
      <c r="P10" s="2">
        <f>IF(ISERROR(VLOOKUP($K10,'Calc-Drivers'!$B$17:$G$27,P$43,FALSE))," ",VLOOKUP($K10,'Calc-Drivers'!$B$17:$G$27,P$43,FALSE))</f>
        <v>0.40342374187534008</v>
      </c>
      <c r="S10" s="2">
        <f t="shared" si="6"/>
        <v>0.12952997035671762</v>
      </c>
      <c r="T10" s="2">
        <f t="shared" si="6"/>
        <v>0.26854420900170062</v>
      </c>
      <c r="U10" s="2">
        <f t="shared" si="6"/>
        <v>6.9371836733267606E-2</v>
      </c>
      <c r="V10" s="2">
        <f t="shared" si="6"/>
        <v>0.18878786784544102</v>
      </c>
      <c r="W10" s="2">
        <f t="shared" si="6"/>
        <v>0.44376611606287464</v>
      </c>
      <c r="Z10" s="2">
        <f t="shared" si="7"/>
        <v>1.7295299703567177</v>
      </c>
      <c r="AA10" s="2">
        <f t="shared" si="7"/>
        <v>4.6685442090017011</v>
      </c>
      <c r="AB10" s="2">
        <f t="shared" si="7"/>
        <v>0.56937183673326763</v>
      </c>
      <c r="AC10" s="2">
        <f t="shared" si="8"/>
        <v>3.1434762252280168</v>
      </c>
      <c r="AD10" s="2">
        <f t="shared" si="8"/>
        <v>7.3890777586802976</v>
      </c>
      <c r="AG10" s="2">
        <f>IF(ISERROR(Z10*100000000/'Calc-Units'!$E$23)," ",Z10*100000000/'Calc-Units'!$E$23)</f>
        <v>1.0338613604411944E-2</v>
      </c>
      <c r="AH10" s="2">
        <f>IF(ISERROR(AA10*100000000/'Calc-Units'!$D$23)," ",AA10*100000000/'Calc-Units'!$D$23)</f>
        <v>3.2000563914009218E-2</v>
      </c>
      <c r="AI10" s="2">
        <f>IF(ISERROR(AB10*100000000/'Calc-Units'!$C$23)," ",AB10*100000000/'Calc-Units'!$C$23)</f>
        <v>5.003575235148626E-3</v>
      </c>
      <c r="AJ10" s="2">
        <f>IF(ISERROR(AC10*100000000/'Calc-Units'!$C$23)," ",AC10*100000000/'Calc-Units'!$C$23)</f>
        <v>2.762451315307635E-2</v>
      </c>
      <c r="AL10" s="2">
        <v>0.23499999999999999</v>
      </c>
      <c r="AM10" s="2">
        <f t="shared" si="9"/>
        <v>4.1124999999999998</v>
      </c>
      <c r="AN10" s="2">
        <f t="shared" si="10"/>
        <v>13.387500000000001</v>
      </c>
      <c r="AQ10" s="2">
        <f t="shared" si="11"/>
        <v>1.3230904273228892</v>
      </c>
      <c r="AR10" s="2">
        <f t="shared" si="11"/>
        <v>3.5714363198863013</v>
      </c>
      <c r="AS10" s="2">
        <f t="shared" si="11"/>
        <v>0.43556945510094974</v>
      </c>
      <c r="AT10" s="2">
        <f t="shared" si="11"/>
        <v>2.4047593122994328</v>
      </c>
      <c r="AU10" s="2">
        <f t="shared" si="11"/>
        <v>5.6526444853904279</v>
      </c>
      <c r="AX10" s="2">
        <f>IF(ISERROR(AQ10*100000000/'Calc-Units'!$E$23)," ",AQ10*100000000/'Calc-Units'!$E$23)</f>
        <v>7.9090394073751367E-3</v>
      </c>
      <c r="AY10" s="2">
        <f>IF(ISERROR(AR10*100000000/'Calc-Units'!$D$23)," ",AR10*100000000/'Calc-Units'!$D$23)</f>
        <v>2.4480431394217052E-2</v>
      </c>
      <c r="AZ10" s="2">
        <f>IF(ISERROR(AS10*100000000/'Calc-Units'!$C$23)," ",AS10*100000000/'Calc-Units'!$C$23)</f>
        <v>3.8277350548886996E-3</v>
      </c>
      <c r="BA10" s="2">
        <f>IF(ISERROR(AT10*100000000/'Calc-Units'!$C$23)," ",AT10*100000000/'Calc-Units'!$C$23)</f>
        <v>2.1132752562103403E-2</v>
      </c>
    </row>
    <row r="11" spans="1:53">
      <c r="C11" s="2" t="s">
        <v>574</v>
      </c>
      <c r="D11" s="2">
        <f>'RRP 1.3'!H$12</f>
        <v>4.8</v>
      </c>
      <c r="E11" s="2">
        <f>SUM('RRP 2.3'!G20:G27)</f>
        <v>2</v>
      </c>
      <c r="F11" s="2">
        <f>SUM('RRP 2.3'!G17:G18)</f>
        <v>0.2</v>
      </c>
      <c r="G11" s="2">
        <f>SUM('RRP 2.3'!G19)</f>
        <v>1.7</v>
      </c>
      <c r="H11" s="2">
        <f>SUM('RRP 2.3'!G11:G16)</f>
        <v>0.5</v>
      </c>
      <c r="I11" s="2">
        <f t="shared" si="5"/>
        <v>0.39999999999999969</v>
      </c>
      <c r="K11" s="2" t="s">
        <v>893</v>
      </c>
      <c r="L11" s="2">
        <f>IF(ISERROR(VLOOKUP($K11,'Calc-Drivers'!$B$17:$G$27,L$43,FALSE))," ",VLOOKUP($K11,'Calc-Drivers'!$B$17:$G$27,L$43,FALSE))</f>
        <v>0.11775451850610677</v>
      </c>
      <c r="M11" s="2">
        <f>IF(ISERROR(VLOOKUP($K11,'Calc-Drivers'!$B$17:$G$27,M$43,FALSE))," ",VLOOKUP($K11,'Calc-Drivers'!$B$17:$G$27,M$43,FALSE))</f>
        <v>0.24413109909245481</v>
      </c>
      <c r="N11" s="2">
        <f>IF(ISERROR(VLOOKUP($K11,'Calc-Drivers'!$B$17:$G$27,N$43,FALSE))," ",VLOOKUP($K11,'Calc-Drivers'!$B$17:$G$27,N$43,FALSE))</f>
        <v>6.3065306121152284E-2</v>
      </c>
      <c r="O11" s="2">
        <f>IF(ISERROR(VLOOKUP($K11,'Calc-Drivers'!$B$17:$G$27,O$43,FALSE))," ",VLOOKUP($K11,'Calc-Drivers'!$B$17:$G$27,O$43,FALSE))</f>
        <v>0.17162533440494615</v>
      </c>
      <c r="P11" s="2">
        <f>IF(ISERROR(VLOOKUP($K11,'Calc-Drivers'!$B$17:$G$27,P$43,FALSE))," ",VLOOKUP($K11,'Calc-Drivers'!$B$17:$G$27,P$43,FALSE))</f>
        <v>0.40342374187534008</v>
      </c>
      <c r="S11" s="2">
        <f t="shared" si="6"/>
        <v>4.7101807402442672E-2</v>
      </c>
      <c r="T11" s="2">
        <f t="shared" si="6"/>
        <v>9.765243963698185E-2</v>
      </c>
      <c r="U11" s="2">
        <f t="shared" si="6"/>
        <v>2.5226122448460894E-2</v>
      </c>
      <c r="V11" s="2">
        <f t="shared" si="6"/>
        <v>6.8650133761978413E-2</v>
      </c>
      <c r="W11" s="2">
        <f t="shared" si="6"/>
        <v>0.1613694967501359</v>
      </c>
      <c r="Z11" s="2">
        <f t="shared" si="7"/>
        <v>2.0471018074024427</v>
      </c>
      <c r="AA11" s="2">
        <f t="shared" si="7"/>
        <v>0.29765243963698185</v>
      </c>
      <c r="AB11" s="2">
        <f t="shared" si="7"/>
        <v>1.7252261224484609</v>
      </c>
      <c r="AC11" s="2">
        <f t="shared" si="8"/>
        <v>0.21787681847827017</v>
      </c>
      <c r="AD11" s="2">
        <f t="shared" si="8"/>
        <v>0.51214281203384415</v>
      </c>
      <c r="AG11" s="2">
        <f>IF(ISERROR(Z11*100000000/'Calc-Units'!$E$23)," ",Z11*100000000/'Calc-Units'!$E$23)</f>
        <v>1.2236963197152364E-2</v>
      </c>
      <c r="AH11" s="2">
        <f>IF(ISERROR(AA11*100000000/'Calc-Units'!$D$23)," ",AA11*100000000/'Calc-Units'!$D$23)</f>
        <v>2.0402604093152196E-3</v>
      </c>
      <c r="AI11" s="2">
        <f>IF(ISERROR(AB11*100000000/'Calc-Units'!$C$23)," ",AB11*100000000/'Calc-Units'!$C$23)</f>
        <v>1.5161091828569954E-2</v>
      </c>
      <c r="AJ11" s="2">
        <f>IF(ISERROR(AC11*100000000/'Calc-Units'!$C$23)," ",AC11*100000000/'Calc-Units'!$C$23)</f>
        <v>1.9146768120909914E-3</v>
      </c>
      <c r="AL11" s="2">
        <v>0.23499999999999999</v>
      </c>
      <c r="AM11" s="2">
        <f t="shared" si="9"/>
        <v>1.1279999999999999</v>
      </c>
      <c r="AN11" s="2">
        <f t="shared" si="10"/>
        <v>3.6719999999999997</v>
      </c>
      <c r="AQ11" s="2">
        <f t="shared" si="11"/>
        <v>1.5660328826628687</v>
      </c>
      <c r="AR11" s="2">
        <f t="shared" si="11"/>
        <v>0.22770411632229112</v>
      </c>
      <c r="AS11" s="2">
        <f t="shared" si="11"/>
        <v>1.3197979836730727</v>
      </c>
      <c r="AT11" s="2">
        <f t="shared" si="11"/>
        <v>0.16667576613587667</v>
      </c>
      <c r="AU11" s="2">
        <f t="shared" si="11"/>
        <v>0.39178925120589081</v>
      </c>
      <c r="AX11" s="2">
        <f>IF(ISERROR(AQ11*100000000/'Calc-Units'!$E$23)," ",AQ11*100000000/'Calc-Units'!$E$23)</f>
        <v>9.3612768458215586E-3</v>
      </c>
      <c r="AY11" s="2">
        <f>IF(ISERROR(AR11*100000000/'Calc-Units'!$D$23)," ",AR11*100000000/'Calc-Units'!$D$23)</f>
        <v>1.5607992131261429E-3</v>
      </c>
      <c r="AZ11" s="2">
        <f>IF(ISERROR(AS11*100000000/'Calc-Units'!$C$23)," ",AS11*100000000/'Calc-Units'!$C$23)</f>
        <v>1.1598235248856016E-2</v>
      </c>
      <c r="BA11" s="2">
        <f>IF(ISERROR(AT11*100000000/'Calc-Units'!$C$23)," ",AT11*100000000/'Calc-Units'!$C$23)</f>
        <v>1.4647277612496084E-3</v>
      </c>
    </row>
    <row r="12" spans="1:53" ht="16.5" customHeight="1">
      <c r="C12" s="2" t="s">
        <v>575</v>
      </c>
      <c r="D12" s="2">
        <f>'RRP 1.3'!I$12</f>
        <v>5.3000000000000007</v>
      </c>
      <c r="E12" s="2">
        <f>'RRP 2.3'!G46+'RRP 2.3'!G47</f>
        <v>0.3</v>
      </c>
      <c r="F12" s="2">
        <f>'RRP 2.3'!G45</f>
        <v>1.9</v>
      </c>
      <c r="G12" s="2">
        <v>0</v>
      </c>
      <c r="H12" s="2">
        <f>'RRP 2.3'!G44</f>
        <v>3.1</v>
      </c>
      <c r="I12" s="2">
        <f t="shared" si="5"/>
        <v>0</v>
      </c>
      <c r="K12" s="2" t="s">
        <v>893</v>
      </c>
      <c r="L12" s="2">
        <f>IF(ISERROR(VLOOKUP($K12,'Calc-Drivers'!$B$17:$G$27,L$43,FALSE))," ",VLOOKUP($K12,'Calc-Drivers'!$B$17:$G$27,L$43,FALSE))</f>
        <v>0.11775451850610677</v>
      </c>
      <c r="M12" s="2">
        <f>IF(ISERROR(VLOOKUP($K12,'Calc-Drivers'!$B$17:$G$27,M$43,FALSE))," ",VLOOKUP($K12,'Calc-Drivers'!$B$17:$G$27,M$43,FALSE))</f>
        <v>0.24413109909245481</v>
      </c>
      <c r="N12" s="2">
        <f>IF(ISERROR(VLOOKUP($K12,'Calc-Drivers'!$B$17:$G$27,N$43,FALSE))," ",VLOOKUP($K12,'Calc-Drivers'!$B$17:$G$27,N$43,FALSE))</f>
        <v>6.3065306121152284E-2</v>
      </c>
      <c r="O12" s="2">
        <f>IF(ISERROR(VLOOKUP($K12,'Calc-Drivers'!$B$17:$G$27,O$43,FALSE))," ",VLOOKUP($K12,'Calc-Drivers'!$B$17:$G$27,O$43,FALSE))</f>
        <v>0.17162533440494615</v>
      </c>
      <c r="P12" s="2">
        <f>IF(ISERROR(VLOOKUP($K12,'Calc-Drivers'!$B$17:$G$27,P$43,FALSE))," ",VLOOKUP($K12,'Calc-Drivers'!$B$17:$G$27,P$43,FALSE))</f>
        <v>0.40342374187534008</v>
      </c>
      <c r="S12" s="2">
        <f t="shared" si="6"/>
        <v>0</v>
      </c>
      <c r="T12" s="2">
        <f t="shared" si="6"/>
        <v>0</v>
      </c>
      <c r="U12" s="2">
        <f t="shared" si="6"/>
        <v>0</v>
      </c>
      <c r="V12" s="2">
        <f t="shared" si="6"/>
        <v>0</v>
      </c>
      <c r="W12" s="2">
        <f t="shared" si="6"/>
        <v>0</v>
      </c>
      <c r="Z12" s="2">
        <f t="shared" si="7"/>
        <v>0.3</v>
      </c>
      <c r="AA12" s="2">
        <f t="shared" si="7"/>
        <v>1.9</v>
      </c>
      <c r="AB12" s="2">
        <f t="shared" si="7"/>
        <v>0</v>
      </c>
      <c r="AC12" s="2">
        <f t="shared" si="8"/>
        <v>0.92520544524100878</v>
      </c>
      <c r="AD12" s="2">
        <f t="shared" si="8"/>
        <v>2.1747945547589915</v>
      </c>
      <c r="AG12" s="2">
        <f>IF(ISERROR(Z12*100000000/'Calc-Units'!$E$23)," ",Z12*100000000/'Calc-Units'!$E$23)</f>
        <v>1.7933103990582352E-3</v>
      </c>
      <c r="AH12" s="2">
        <f>IF(ISERROR(AA12*100000000/'Calc-Units'!$D$23)," ",AA12*100000000/'Calc-Units'!$D$23)</f>
        <v>1.3023561246219605E-2</v>
      </c>
      <c r="AI12" s="2">
        <f>IF(ISERROR(AB12*100000000/'Calc-Units'!$C$23)," ",AB12*100000000/'Calc-Units'!$C$23)</f>
        <v>0</v>
      </c>
      <c r="AJ12" s="2">
        <f>IF(ISERROR(AC12*100000000/'Calc-Units'!$C$23)," ",AC12*100000000/'Calc-Units'!$C$23)</f>
        <v>8.1306006981185907E-3</v>
      </c>
      <c r="AL12" s="2">
        <v>0.23499999999999999</v>
      </c>
      <c r="AM12" s="2">
        <f t="shared" si="9"/>
        <v>1.2455000000000001</v>
      </c>
      <c r="AN12" s="2">
        <f t="shared" si="10"/>
        <v>4.0545000000000009</v>
      </c>
      <c r="AQ12" s="2">
        <f t="shared" si="11"/>
        <v>0.22949999999999998</v>
      </c>
      <c r="AR12" s="2">
        <f t="shared" si="11"/>
        <v>1.4535</v>
      </c>
      <c r="AS12" s="2">
        <f t="shared" si="11"/>
        <v>0</v>
      </c>
      <c r="AT12" s="2">
        <f t="shared" si="11"/>
        <v>0.70778216560937168</v>
      </c>
      <c r="AU12" s="2">
        <f t="shared" si="11"/>
        <v>1.6637178343906285</v>
      </c>
      <c r="AX12" s="2">
        <f>IF(ISERROR(AQ12*100000000/'Calc-Units'!$E$23)," ",AQ12*100000000/'Calc-Units'!$E$23)</f>
        <v>1.37188245527955E-3</v>
      </c>
      <c r="AY12" s="2">
        <f>IF(ISERROR(AR12*100000000/'Calc-Units'!$D$23)," ",AR12*100000000/'Calc-Units'!$D$23)</f>
        <v>9.9630243533579983E-3</v>
      </c>
      <c r="AZ12" s="2">
        <f>IF(ISERROR(AS12*100000000/'Calc-Units'!$C$23)," ",AS12*100000000/'Calc-Units'!$C$23)</f>
        <v>0</v>
      </c>
      <c r="BA12" s="2">
        <f>IF(ISERROR(AT12*100000000/'Calc-Units'!$C$23)," ",AT12*100000000/'Calc-Units'!$C$23)</f>
        <v>6.219909534060721E-3</v>
      </c>
    </row>
    <row r="13" spans="1:53" ht="12.75" customHeight="1">
      <c r="B13" s="2" t="s">
        <v>894</v>
      </c>
      <c r="C13" s="2" t="s">
        <v>576</v>
      </c>
      <c r="D13" s="2">
        <f>'RRP 1.3'!J$12</f>
        <v>0.4</v>
      </c>
      <c r="E13" s="2">
        <v>0</v>
      </c>
      <c r="F13" s="2">
        <v>0</v>
      </c>
      <c r="G13" s="2">
        <v>0</v>
      </c>
      <c r="H13" s="2">
        <v>0</v>
      </c>
      <c r="I13" s="2">
        <f t="shared" si="5"/>
        <v>0.4</v>
      </c>
      <c r="K13" s="2" t="s">
        <v>893</v>
      </c>
      <c r="L13" s="2">
        <f>IF(ISERROR(VLOOKUP($K13,'Calc-Drivers'!$B$17:$G$27,L$43,FALSE))," ",VLOOKUP($K13,'Calc-Drivers'!$B$17:$G$27,L$43,FALSE))</f>
        <v>0.11775451850610677</v>
      </c>
      <c r="M13" s="2">
        <f>IF(ISERROR(VLOOKUP($K13,'Calc-Drivers'!$B$17:$G$27,M$43,FALSE))," ",VLOOKUP($K13,'Calc-Drivers'!$B$17:$G$27,M$43,FALSE))</f>
        <v>0.24413109909245481</v>
      </c>
      <c r="N13" s="2">
        <f>IF(ISERROR(VLOOKUP($K13,'Calc-Drivers'!$B$17:$G$27,N$43,FALSE))," ",VLOOKUP($K13,'Calc-Drivers'!$B$17:$G$27,N$43,FALSE))</f>
        <v>6.3065306121152284E-2</v>
      </c>
      <c r="O13" s="2">
        <f>IF(ISERROR(VLOOKUP($K13,'Calc-Drivers'!$B$17:$G$27,O$43,FALSE))," ",VLOOKUP($K13,'Calc-Drivers'!$B$17:$G$27,O$43,FALSE))</f>
        <v>0.17162533440494615</v>
      </c>
      <c r="P13" s="2">
        <f>IF(ISERROR(VLOOKUP($K13,'Calc-Drivers'!$B$17:$G$27,P$43,FALSE))," ",VLOOKUP($K13,'Calc-Drivers'!$B$17:$G$27,P$43,FALSE))</f>
        <v>0.40342374187534008</v>
      </c>
      <c r="S13" s="2">
        <f t="shared" si="6"/>
        <v>4.7101807402442714E-2</v>
      </c>
      <c r="T13" s="2">
        <f t="shared" si="6"/>
        <v>9.7652439636981933E-2</v>
      </c>
      <c r="U13" s="2">
        <f t="shared" si="6"/>
        <v>2.5226122448460914E-2</v>
      </c>
      <c r="V13" s="2">
        <f t="shared" si="6"/>
        <v>6.8650133761978469E-2</v>
      </c>
      <c r="W13" s="2">
        <f t="shared" si="6"/>
        <v>0.16136949675013604</v>
      </c>
      <c r="Z13" s="2">
        <f t="shared" si="7"/>
        <v>4.7101807402442714E-2</v>
      </c>
      <c r="AA13" s="2">
        <f t="shared" si="7"/>
        <v>9.7652439636981933E-2</v>
      </c>
      <c r="AB13" s="2">
        <f t="shared" si="7"/>
        <v>2.5226122448460914E-2</v>
      </c>
      <c r="AC13" s="2">
        <f t="shared" si="8"/>
        <v>6.8650133761978469E-2</v>
      </c>
      <c r="AD13" s="2">
        <f t="shared" si="8"/>
        <v>0.16136949675013604</v>
      </c>
      <c r="AG13" s="2">
        <f>IF(ISERROR(Z13*100000000/'Calc-Units'!$E$23)," ",Z13*100000000/'Calc-Units'!$E$23)</f>
        <v>2.8156053676412889E-4</v>
      </c>
      <c r="AH13" s="2">
        <f>IF(ISERROR(AA13*100000000/'Calc-Units'!$D$23)," ",AA13*100000000/'Calc-Units'!$D$23)</f>
        <v>6.6935922550263015E-4</v>
      </c>
      <c r="AI13" s="2">
        <f>IF(ISERROR(AB13*100000000/'Calc-Units'!$C$23)," ",AB13*100000000/'Calc-Units'!$C$23)</f>
        <v>2.2168430789645159E-4</v>
      </c>
      <c r="AJ13" s="2">
        <f>IF(ISERROR(AC13*100000000/'Calc-Units'!$C$23)," ",AC13*100000000/'Calc-Units'!$C$23)</f>
        <v>6.0328960271702539E-4</v>
      </c>
      <c r="AL13" s="2">
        <v>0.52569999999999995</v>
      </c>
      <c r="AM13" s="2">
        <f t="shared" si="9"/>
        <v>0.21027999999999999</v>
      </c>
      <c r="AN13" s="2">
        <f t="shared" si="10"/>
        <v>0.18972000000000003</v>
      </c>
      <c r="AQ13" s="2">
        <f t="shared" si="11"/>
        <v>2.2340387250978581E-2</v>
      </c>
      <c r="AR13" s="2">
        <f t="shared" si="11"/>
        <v>4.6316552119820539E-2</v>
      </c>
      <c r="AS13" s="2">
        <f t="shared" si="11"/>
        <v>1.1964749877305014E-2</v>
      </c>
      <c r="AT13" s="2">
        <f t="shared" si="11"/>
        <v>3.2560758443306394E-2</v>
      </c>
      <c r="AU13" s="2">
        <f t="shared" si="11"/>
        <v>7.6537552308589538E-2</v>
      </c>
      <c r="AX13" s="2">
        <f>IF(ISERROR(AQ13*100000000/'Calc-Units'!$E$23)," ",AQ13*100000000/'Calc-Units'!$E$23)</f>
        <v>1.3354416258722638E-4</v>
      </c>
      <c r="AY13" s="2">
        <f>IF(ISERROR(AR13*100000000/'Calc-Units'!$D$23)," ",AR13*100000000/'Calc-Units'!$D$23)</f>
        <v>3.1747708065589753E-4</v>
      </c>
      <c r="AZ13" s="2">
        <f>IF(ISERROR(AS13*100000000/'Calc-Units'!$C$23)," ",AS13*100000000/'Calc-Units'!$C$23)</f>
        <v>1.0514486723528701E-4</v>
      </c>
      <c r="BA13" s="2">
        <f>IF(ISERROR(AT13*100000000/'Calc-Units'!$C$23)," ",AT13*100000000/'Calc-Units'!$C$23)</f>
        <v>2.8614025856868523E-4</v>
      </c>
    </row>
    <row r="14" spans="1:53">
      <c r="C14" s="2" t="s">
        <v>577</v>
      </c>
      <c r="D14" s="2">
        <f>'RRP 1.3'!K$12</f>
        <v>4</v>
      </c>
      <c r="E14" s="2">
        <v>0</v>
      </c>
      <c r="F14" s="2">
        <v>0</v>
      </c>
      <c r="G14" s="2">
        <v>0</v>
      </c>
      <c r="H14" s="2">
        <v>0</v>
      </c>
      <c r="I14" s="2">
        <f t="shared" si="5"/>
        <v>4</v>
      </c>
      <c r="K14" s="2" t="s">
        <v>893</v>
      </c>
      <c r="L14" s="2">
        <f>IF(ISERROR(VLOOKUP($K14,'Calc-Drivers'!$B$17:$G$27,L$43,FALSE))," ",VLOOKUP($K14,'Calc-Drivers'!$B$17:$G$27,L$43,FALSE))</f>
        <v>0.11775451850610677</v>
      </c>
      <c r="M14" s="2">
        <f>IF(ISERROR(VLOOKUP($K14,'Calc-Drivers'!$B$17:$G$27,M$43,FALSE))," ",VLOOKUP($K14,'Calc-Drivers'!$B$17:$G$27,M$43,FALSE))</f>
        <v>0.24413109909245481</v>
      </c>
      <c r="N14" s="2">
        <f>IF(ISERROR(VLOOKUP($K14,'Calc-Drivers'!$B$17:$G$27,N$43,FALSE))," ",VLOOKUP($K14,'Calc-Drivers'!$B$17:$G$27,N$43,FALSE))</f>
        <v>6.3065306121152284E-2</v>
      </c>
      <c r="O14" s="2">
        <f>IF(ISERROR(VLOOKUP($K14,'Calc-Drivers'!$B$17:$G$27,O$43,FALSE))," ",VLOOKUP($K14,'Calc-Drivers'!$B$17:$G$27,O$43,FALSE))</f>
        <v>0.17162533440494615</v>
      </c>
      <c r="P14" s="2">
        <f>IF(ISERROR(VLOOKUP($K14,'Calc-Drivers'!$B$17:$G$27,P$43,FALSE))," ",VLOOKUP($K14,'Calc-Drivers'!$B$17:$G$27,P$43,FALSE))</f>
        <v>0.40342374187534008</v>
      </c>
      <c r="S14" s="2">
        <f t="shared" si="6"/>
        <v>0.47101807402442708</v>
      </c>
      <c r="T14" s="2">
        <f t="shared" si="6"/>
        <v>0.97652439636981925</v>
      </c>
      <c r="U14" s="2">
        <f t="shared" si="6"/>
        <v>0.25226122448460914</v>
      </c>
      <c r="V14" s="2">
        <f t="shared" si="6"/>
        <v>0.6865013376197846</v>
      </c>
      <c r="W14" s="2">
        <f t="shared" si="6"/>
        <v>1.6136949675013603</v>
      </c>
      <c r="Z14" s="2">
        <f t="shared" si="7"/>
        <v>0.47101807402442708</v>
      </c>
      <c r="AA14" s="2">
        <f t="shared" si="7"/>
        <v>0.97652439636981925</v>
      </c>
      <c r="AB14" s="2">
        <f t="shared" si="7"/>
        <v>0.25226122448460914</v>
      </c>
      <c r="AC14" s="2">
        <f t="shared" si="8"/>
        <v>0.6865013376197846</v>
      </c>
      <c r="AD14" s="2">
        <f t="shared" si="8"/>
        <v>1.6136949675013603</v>
      </c>
      <c r="AG14" s="2">
        <f>IF(ISERROR(Z14*100000000/'Calc-Units'!$E$23)," ",Z14*100000000/'Calc-Units'!$E$23)</f>
        <v>2.815605367641289E-3</v>
      </c>
      <c r="AH14" s="2">
        <f>IF(ISERROR(AA14*100000000/'Calc-Units'!$D$23)," ",AA14*100000000/'Calc-Units'!$D$23)</f>
        <v>6.6935922550263004E-3</v>
      </c>
      <c r="AI14" s="2">
        <f>IF(ISERROR(AB14*100000000/'Calc-Units'!$C$23)," ",AB14*100000000/'Calc-Units'!$C$23)</f>
        <v>2.2168430789645159E-3</v>
      </c>
      <c r="AJ14" s="2">
        <f>IF(ISERROR(AC14*100000000/'Calc-Units'!$C$23)," ",AC14*100000000/'Calc-Units'!$C$23)</f>
        <v>6.0328960271702533E-3</v>
      </c>
      <c r="AL14" s="2">
        <v>0.52569999999999995</v>
      </c>
      <c r="AM14" s="2">
        <f t="shared" si="9"/>
        <v>2.1027999999999998</v>
      </c>
      <c r="AN14" s="2">
        <f t="shared" si="10"/>
        <v>1.8972000000000002</v>
      </c>
      <c r="AQ14" s="2">
        <f t="shared" si="11"/>
        <v>0.2234038725097858</v>
      </c>
      <c r="AR14" s="2">
        <f t="shared" si="11"/>
        <v>0.46316552119820531</v>
      </c>
      <c r="AS14" s="2">
        <f t="shared" si="11"/>
        <v>0.11964749877305013</v>
      </c>
      <c r="AT14" s="2">
        <f t="shared" si="11"/>
        <v>0.32560758443306387</v>
      </c>
      <c r="AU14" s="2">
        <f t="shared" si="11"/>
        <v>0.76537552308589529</v>
      </c>
      <c r="AX14" s="2">
        <f>IF(ISERROR(AQ14*100000000/'Calc-Units'!$E$23)," ",AQ14*100000000/'Calc-Units'!$E$23)</f>
        <v>1.3354416258722637E-3</v>
      </c>
      <c r="AY14" s="2">
        <f>IF(ISERROR(AR14*100000000/'Calc-Units'!$D$23)," ",AR14*100000000/'Calc-Units'!$D$23)</f>
        <v>3.1747708065589745E-3</v>
      </c>
      <c r="AZ14" s="2">
        <f>IF(ISERROR(AS14*100000000/'Calc-Units'!$C$23)," ",AS14*100000000/'Calc-Units'!$C$23)</f>
        <v>1.05144867235287E-3</v>
      </c>
      <c r="BA14" s="2">
        <f>IF(ISERROR(AT14*100000000/'Calc-Units'!$C$23)," ",AT14*100000000/'Calc-Units'!$C$23)</f>
        <v>2.8614025856868513E-3</v>
      </c>
    </row>
    <row r="15" spans="1:53">
      <c r="C15" s="2" t="s">
        <v>578</v>
      </c>
      <c r="D15" s="2">
        <f>'RRP 1.3'!L$12</f>
        <v>2.6</v>
      </c>
      <c r="E15" s="2">
        <v>0</v>
      </c>
      <c r="F15" s="2">
        <v>0</v>
      </c>
      <c r="G15" s="2">
        <v>0</v>
      </c>
      <c r="H15" s="2">
        <v>0</v>
      </c>
      <c r="I15" s="2">
        <f t="shared" si="5"/>
        <v>2.6</v>
      </c>
      <c r="K15" s="2" t="s">
        <v>893</v>
      </c>
      <c r="L15" s="2">
        <f>IF(ISERROR(VLOOKUP($K15,'Calc-Drivers'!$B$17:$G$27,L$43,FALSE))," ",VLOOKUP($K15,'Calc-Drivers'!$B$17:$G$27,L$43,FALSE))</f>
        <v>0.11775451850610677</v>
      </c>
      <c r="M15" s="2">
        <f>IF(ISERROR(VLOOKUP($K15,'Calc-Drivers'!$B$17:$G$27,M$43,FALSE))," ",VLOOKUP($K15,'Calc-Drivers'!$B$17:$G$27,M$43,FALSE))</f>
        <v>0.24413109909245481</v>
      </c>
      <c r="N15" s="2">
        <f>IF(ISERROR(VLOOKUP($K15,'Calc-Drivers'!$B$17:$G$27,N$43,FALSE))," ",VLOOKUP($K15,'Calc-Drivers'!$B$17:$G$27,N$43,FALSE))</f>
        <v>6.3065306121152284E-2</v>
      </c>
      <c r="O15" s="2">
        <f>IF(ISERROR(VLOOKUP($K15,'Calc-Drivers'!$B$17:$G$27,O$43,FALSE))," ",VLOOKUP($K15,'Calc-Drivers'!$B$17:$G$27,O$43,FALSE))</f>
        <v>0.17162533440494615</v>
      </c>
      <c r="P15" s="2">
        <f>IF(ISERROR(VLOOKUP($K15,'Calc-Drivers'!$B$17:$G$27,P$43,FALSE))," ",VLOOKUP($K15,'Calc-Drivers'!$B$17:$G$27,P$43,FALSE))</f>
        <v>0.40342374187534008</v>
      </c>
      <c r="S15" s="2">
        <f t="shared" si="6"/>
        <v>0.3061617481158776</v>
      </c>
      <c r="T15" s="2">
        <f t="shared" si="6"/>
        <v>0.63474085764038257</v>
      </c>
      <c r="U15" s="2">
        <f t="shared" si="6"/>
        <v>0.16396979591499594</v>
      </c>
      <c r="V15" s="2">
        <f t="shared" si="6"/>
        <v>0.44622586945286002</v>
      </c>
      <c r="W15" s="2">
        <f t="shared" si="6"/>
        <v>1.0489017288758842</v>
      </c>
      <c r="Z15" s="2">
        <f t="shared" si="7"/>
        <v>0.3061617481158776</v>
      </c>
      <c r="AA15" s="2">
        <f t="shared" si="7"/>
        <v>0.63474085764038257</v>
      </c>
      <c r="AB15" s="2">
        <f t="shared" si="7"/>
        <v>0.16396979591499594</v>
      </c>
      <c r="AC15" s="2">
        <f t="shared" si="8"/>
        <v>0.44622586945286002</v>
      </c>
      <c r="AD15" s="2">
        <f t="shared" si="8"/>
        <v>1.0489017288758842</v>
      </c>
      <c r="AG15" s="2">
        <f>IF(ISERROR(Z15*100000000/'Calc-Units'!$E$23)," ",Z15*100000000/'Calc-Units'!$E$23)</f>
        <v>1.8301434889668377E-3</v>
      </c>
      <c r="AH15" s="2">
        <f>IF(ISERROR(AA15*100000000/'Calc-Units'!$D$23)," ",AA15*100000000/'Calc-Units'!$D$23)</f>
        <v>4.3508349657670961E-3</v>
      </c>
      <c r="AI15" s="2">
        <f>IF(ISERROR(AB15*100000000/'Calc-Units'!$C$23)," ",AB15*100000000/'Calc-Units'!$C$23)</f>
        <v>1.4409480013269354E-3</v>
      </c>
      <c r="AJ15" s="2">
        <f>IF(ISERROR(AC15*100000000/'Calc-Units'!$C$23)," ",AC15*100000000/'Calc-Units'!$C$23)</f>
        <v>3.9213824176606649E-3</v>
      </c>
      <c r="AL15" s="2">
        <v>0.52569999999999995</v>
      </c>
      <c r="AM15" s="2">
        <f t="shared" si="9"/>
        <v>1.3668199999999999</v>
      </c>
      <c r="AN15" s="2">
        <f t="shared" si="10"/>
        <v>1.2331800000000002</v>
      </c>
      <c r="AQ15" s="2">
        <f t="shared" si="11"/>
        <v>0.14521251713136077</v>
      </c>
      <c r="AR15" s="2">
        <f t="shared" si="11"/>
        <v>0.30105758877883348</v>
      </c>
      <c r="AS15" s="2">
        <f t="shared" si="11"/>
        <v>7.777087420248259E-2</v>
      </c>
      <c r="AT15" s="2">
        <f t="shared" si="11"/>
        <v>0.21164492988149153</v>
      </c>
      <c r="AU15" s="2">
        <f t="shared" si="11"/>
        <v>0.49749409000583195</v>
      </c>
      <c r="AX15" s="2">
        <f>IF(ISERROR(AQ15*100000000/'Calc-Units'!$E$23)," ",AQ15*100000000/'Calc-Units'!$E$23)</f>
        <v>8.6803705681697126E-4</v>
      </c>
      <c r="AY15" s="2">
        <f>IF(ISERROR(AR15*100000000/'Calc-Units'!$D$23)," ",AR15*100000000/'Calc-Units'!$D$23)</f>
        <v>2.0636010242633335E-3</v>
      </c>
      <c r="AZ15" s="2">
        <f>IF(ISERROR(AS15*100000000/'Calc-Units'!$C$23)," ",AS15*100000000/'Calc-Units'!$C$23)</f>
        <v>6.8344163702936547E-4</v>
      </c>
      <c r="BA15" s="2">
        <f>IF(ISERROR(AT15*100000000/'Calc-Units'!$C$23)," ",AT15*100000000/'Calc-Units'!$C$23)</f>
        <v>1.8599116806964533E-3</v>
      </c>
    </row>
    <row r="16" spans="1:53">
      <c r="C16" s="2" t="s">
        <v>579</v>
      </c>
      <c r="D16" s="2">
        <f>'RRP 1.3'!M$12</f>
        <v>10.799999999999999</v>
      </c>
      <c r="E16" s="2">
        <v>0</v>
      </c>
      <c r="F16" s="2">
        <v>0</v>
      </c>
      <c r="G16" s="2">
        <v>0</v>
      </c>
      <c r="H16" s="2">
        <v>0</v>
      </c>
      <c r="I16" s="2">
        <f t="shared" si="5"/>
        <v>10.799999999999999</v>
      </c>
      <c r="K16" s="2" t="s">
        <v>893</v>
      </c>
      <c r="L16" s="2">
        <f>IF(ISERROR(VLOOKUP($K16,'Calc-Drivers'!$B$17:$G$27,L$43,FALSE))," ",VLOOKUP($K16,'Calc-Drivers'!$B$17:$G$27,L$43,FALSE))</f>
        <v>0.11775451850610677</v>
      </c>
      <c r="M16" s="2">
        <f>IF(ISERROR(VLOOKUP($K16,'Calc-Drivers'!$B$17:$G$27,M$43,FALSE))," ",VLOOKUP($K16,'Calc-Drivers'!$B$17:$G$27,M$43,FALSE))</f>
        <v>0.24413109909245481</v>
      </c>
      <c r="N16" s="2">
        <f>IF(ISERROR(VLOOKUP($K16,'Calc-Drivers'!$B$17:$G$27,N$43,FALSE))," ",VLOOKUP($K16,'Calc-Drivers'!$B$17:$G$27,N$43,FALSE))</f>
        <v>6.3065306121152284E-2</v>
      </c>
      <c r="O16" s="2">
        <f>IF(ISERROR(VLOOKUP($K16,'Calc-Drivers'!$B$17:$G$27,O$43,FALSE))," ",VLOOKUP($K16,'Calc-Drivers'!$B$17:$G$27,O$43,FALSE))</f>
        <v>0.17162533440494615</v>
      </c>
      <c r="P16" s="2">
        <f>IF(ISERROR(VLOOKUP($K16,'Calc-Drivers'!$B$17:$G$27,P$43,FALSE))," ",VLOOKUP($K16,'Calc-Drivers'!$B$17:$G$27,P$43,FALSE))</f>
        <v>0.40342374187534008</v>
      </c>
      <c r="S16" s="2">
        <f t="shared" si="6"/>
        <v>1.2717487998659529</v>
      </c>
      <c r="T16" s="2">
        <f t="shared" si="6"/>
        <v>2.6366158701985118</v>
      </c>
      <c r="U16" s="2">
        <f t="shared" si="6"/>
        <v>0.68110530610844455</v>
      </c>
      <c r="V16" s="2">
        <f t="shared" si="6"/>
        <v>1.8535536115734181</v>
      </c>
      <c r="W16" s="2">
        <f t="shared" si="6"/>
        <v>4.3569764122536725</v>
      </c>
      <c r="Z16" s="2">
        <f t="shared" si="7"/>
        <v>1.2717487998659529</v>
      </c>
      <c r="AA16" s="2">
        <f t="shared" si="7"/>
        <v>2.6366158701985118</v>
      </c>
      <c r="AB16" s="2">
        <f t="shared" si="7"/>
        <v>0.68110530610844455</v>
      </c>
      <c r="AC16" s="2">
        <f t="shared" si="8"/>
        <v>1.8535536115734181</v>
      </c>
      <c r="AD16" s="2">
        <f t="shared" si="8"/>
        <v>4.3569764122536725</v>
      </c>
      <c r="AG16" s="2">
        <f>IF(ISERROR(Z16*100000000/'Calc-Units'!$E$23)," ",Z16*100000000/'Calc-Units'!$E$23)</f>
        <v>7.602134492631479E-3</v>
      </c>
      <c r="AH16" s="2">
        <f>IF(ISERROR(AA16*100000000/'Calc-Units'!$D$23)," ",AA16*100000000/'Calc-Units'!$D$23)</f>
        <v>1.8072699088571009E-2</v>
      </c>
      <c r="AI16" s="2">
        <f>IF(ISERROR(AB16*100000000/'Calc-Units'!$C$23)," ",AB16*100000000/'Calc-Units'!$C$23)</f>
        <v>5.9854763132041909E-3</v>
      </c>
      <c r="AJ16" s="2">
        <f>IF(ISERROR(AC16*100000000/'Calc-Units'!$C$23)," ",AC16*100000000/'Calc-Units'!$C$23)</f>
        <v>1.6288819273359682E-2</v>
      </c>
      <c r="AL16" s="2">
        <v>0.52569999999999995</v>
      </c>
      <c r="AM16" s="2">
        <f t="shared" si="9"/>
        <v>5.6775599999999988</v>
      </c>
      <c r="AN16" s="2">
        <f t="shared" si="10"/>
        <v>5.1224400000000001</v>
      </c>
      <c r="AQ16" s="2">
        <f t="shared" si="11"/>
        <v>0.6031904557764215</v>
      </c>
      <c r="AR16" s="2">
        <f t="shared" si="11"/>
        <v>1.2505469072351543</v>
      </c>
      <c r="AS16" s="2">
        <f t="shared" si="11"/>
        <v>0.32304824668723531</v>
      </c>
      <c r="AT16" s="2">
        <f t="shared" si="11"/>
        <v>0.8791404779692723</v>
      </c>
      <c r="AU16" s="2">
        <f t="shared" si="11"/>
        <v>2.0665139123319172</v>
      </c>
      <c r="AX16" s="2">
        <f>IF(ISERROR(AQ16*100000000/'Calc-Units'!$E$23)," ",AQ16*100000000/'Calc-Units'!$E$23)</f>
        <v>3.6056923898551106E-3</v>
      </c>
      <c r="AY16" s="2">
        <f>IF(ISERROR(AR16*100000000/'Calc-Units'!$D$23)," ",AR16*100000000/'Calc-Units'!$D$23)</f>
        <v>8.571881177709231E-3</v>
      </c>
      <c r="AZ16" s="2">
        <f>IF(ISERROR(AS16*100000000/'Calc-Units'!$C$23)," ",AS16*100000000/'Calc-Units'!$C$23)</f>
        <v>2.8389114153527487E-3</v>
      </c>
      <c r="BA16" s="2">
        <f>IF(ISERROR(AT16*100000000/'Calc-Units'!$C$23)," ",AT16*100000000/'Calc-Units'!$C$23)</f>
        <v>7.7257869813544969E-3</v>
      </c>
    </row>
    <row r="17" spans="1:53">
      <c r="C17" s="2" t="s">
        <v>580</v>
      </c>
      <c r="D17" s="2">
        <f>'RRP 1.3'!N$12</f>
        <v>2.6</v>
      </c>
      <c r="E17" s="2">
        <v>0</v>
      </c>
      <c r="F17" s="2">
        <v>0</v>
      </c>
      <c r="G17" s="2">
        <v>0</v>
      </c>
      <c r="H17" s="2">
        <v>0</v>
      </c>
      <c r="I17" s="2">
        <f t="shared" si="5"/>
        <v>2.6</v>
      </c>
      <c r="K17" s="2" t="s">
        <v>893</v>
      </c>
      <c r="L17" s="2">
        <f>IF(ISERROR(VLOOKUP($K17,'Calc-Drivers'!$B$17:$G$27,L$43,FALSE))," ",VLOOKUP($K17,'Calc-Drivers'!$B$17:$G$27,L$43,FALSE))</f>
        <v>0.11775451850610677</v>
      </c>
      <c r="M17" s="2">
        <f>IF(ISERROR(VLOOKUP($K17,'Calc-Drivers'!$B$17:$G$27,M$43,FALSE))," ",VLOOKUP($K17,'Calc-Drivers'!$B$17:$G$27,M$43,FALSE))</f>
        <v>0.24413109909245481</v>
      </c>
      <c r="N17" s="2">
        <f>IF(ISERROR(VLOOKUP($K17,'Calc-Drivers'!$B$17:$G$27,N$43,FALSE))," ",VLOOKUP($K17,'Calc-Drivers'!$B$17:$G$27,N$43,FALSE))</f>
        <v>6.3065306121152284E-2</v>
      </c>
      <c r="O17" s="2">
        <f>IF(ISERROR(VLOOKUP($K17,'Calc-Drivers'!$B$17:$G$27,O$43,FALSE))," ",VLOOKUP($K17,'Calc-Drivers'!$B$17:$G$27,O$43,FALSE))</f>
        <v>0.17162533440494615</v>
      </c>
      <c r="P17" s="2">
        <f>IF(ISERROR(VLOOKUP($K17,'Calc-Drivers'!$B$17:$G$27,P$43,FALSE))," ",VLOOKUP($K17,'Calc-Drivers'!$B$17:$G$27,P$43,FALSE))</f>
        <v>0.40342374187534008</v>
      </c>
      <c r="S17" s="2">
        <f t="shared" si="6"/>
        <v>0.3061617481158776</v>
      </c>
      <c r="T17" s="2">
        <f t="shared" si="6"/>
        <v>0.63474085764038257</v>
      </c>
      <c r="U17" s="2">
        <f t="shared" si="6"/>
        <v>0.16396979591499594</v>
      </c>
      <c r="V17" s="2">
        <f t="shared" si="6"/>
        <v>0.44622586945286002</v>
      </c>
      <c r="W17" s="2">
        <f t="shared" si="6"/>
        <v>1.0489017288758842</v>
      </c>
      <c r="Z17" s="2">
        <f t="shared" si="7"/>
        <v>0.3061617481158776</v>
      </c>
      <c r="AA17" s="2">
        <f t="shared" si="7"/>
        <v>0.63474085764038257</v>
      </c>
      <c r="AB17" s="2">
        <f t="shared" si="7"/>
        <v>0.16396979591499594</v>
      </c>
      <c r="AC17" s="2">
        <f t="shared" si="8"/>
        <v>0.44622586945286002</v>
      </c>
      <c r="AD17" s="2">
        <f t="shared" si="8"/>
        <v>1.0489017288758842</v>
      </c>
      <c r="AG17" s="2">
        <f>IF(ISERROR(Z17*100000000/'Calc-Units'!$E$23)," ",Z17*100000000/'Calc-Units'!$E$23)</f>
        <v>1.8301434889668377E-3</v>
      </c>
      <c r="AH17" s="2">
        <f>IF(ISERROR(AA17*100000000/'Calc-Units'!$D$23)," ",AA17*100000000/'Calc-Units'!$D$23)</f>
        <v>4.3508349657670961E-3</v>
      </c>
      <c r="AI17" s="2">
        <f>IF(ISERROR(AB17*100000000/'Calc-Units'!$C$23)," ",AB17*100000000/'Calc-Units'!$C$23)</f>
        <v>1.4409480013269354E-3</v>
      </c>
      <c r="AJ17" s="2">
        <f>IF(ISERROR(AC17*100000000/'Calc-Units'!$C$23)," ",AC17*100000000/'Calc-Units'!$C$23)</f>
        <v>3.9213824176606649E-3</v>
      </c>
      <c r="AL17" s="2">
        <v>0.52569999999999995</v>
      </c>
      <c r="AM17" s="2">
        <f t="shared" si="9"/>
        <v>1.3668199999999999</v>
      </c>
      <c r="AN17" s="2">
        <f t="shared" si="10"/>
        <v>1.2331800000000002</v>
      </c>
      <c r="AQ17" s="2">
        <f t="shared" si="11"/>
        <v>0.14521251713136077</v>
      </c>
      <c r="AR17" s="2">
        <f t="shared" si="11"/>
        <v>0.30105758877883348</v>
      </c>
      <c r="AS17" s="2">
        <f t="shared" si="11"/>
        <v>7.777087420248259E-2</v>
      </c>
      <c r="AT17" s="2">
        <f t="shared" si="11"/>
        <v>0.21164492988149153</v>
      </c>
      <c r="AU17" s="2">
        <f t="shared" si="11"/>
        <v>0.49749409000583195</v>
      </c>
      <c r="AX17" s="2">
        <f>IF(ISERROR(AQ17*100000000/'Calc-Units'!$E$23)," ",AQ17*100000000/'Calc-Units'!$E$23)</f>
        <v>8.6803705681697126E-4</v>
      </c>
      <c r="AY17" s="2">
        <f>IF(ISERROR(AR17*100000000/'Calc-Units'!$D$23)," ",AR17*100000000/'Calc-Units'!$D$23)</f>
        <v>2.0636010242633335E-3</v>
      </c>
      <c r="AZ17" s="2">
        <f>IF(ISERROR(AS17*100000000/'Calc-Units'!$C$23)," ",AS17*100000000/'Calc-Units'!$C$23)</f>
        <v>6.8344163702936547E-4</v>
      </c>
      <c r="BA17" s="2">
        <f>IF(ISERROR(AT17*100000000/'Calc-Units'!$C$23)," ",AT17*100000000/'Calc-Units'!$C$23)</f>
        <v>1.8599116806964533E-3</v>
      </c>
    </row>
    <row r="18" spans="1:53">
      <c r="C18" s="2" t="s">
        <v>581</v>
      </c>
      <c r="D18" s="2">
        <f>'RRP 1.3'!O$12</f>
        <v>1.4</v>
      </c>
      <c r="E18" s="2">
        <v>0</v>
      </c>
      <c r="F18" s="2">
        <v>0</v>
      </c>
      <c r="G18" s="2">
        <v>0</v>
      </c>
      <c r="H18" s="2">
        <v>0</v>
      </c>
      <c r="I18" s="2">
        <f t="shared" si="5"/>
        <v>1.4</v>
      </c>
      <c r="K18" s="2" t="s">
        <v>893</v>
      </c>
      <c r="L18" s="2">
        <f>IF(ISERROR(VLOOKUP($K18,'Calc-Drivers'!$B$17:$G$27,L$43,FALSE))," ",VLOOKUP($K18,'Calc-Drivers'!$B$17:$G$27,L$43,FALSE))</f>
        <v>0.11775451850610677</v>
      </c>
      <c r="M18" s="2">
        <f>IF(ISERROR(VLOOKUP($K18,'Calc-Drivers'!$B$17:$G$27,M$43,FALSE))," ",VLOOKUP($K18,'Calc-Drivers'!$B$17:$G$27,M$43,FALSE))</f>
        <v>0.24413109909245481</v>
      </c>
      <c r="N18" s="2">
        <f>IF(ISERROR(VLOOKUP($K18,'Calc-Drivers'!$B$17:$G$27,N$43,FALSE))," ",VLOOKUP($K18,'Calc-Drivers'!$B$17:$G$27,N$43,FALSE))</f>
        <v>6.3065306121152284E-2</v>
      </c>
      <c r="O18" s="2">
        <f>IF(ISERROR(VLOOKUP($K18,'Calc-Drivers'!$B$17:$G$27,O$43,FALSE))," ",VLOOKUP($K18,'Calc-Drivers'!$B$17:$G$27,O$43,FALSE))</f>
        <v>0.17162533440494615</v>
      </c>
      <c r="P18" s="2">
        <f>IF(ISERROR(VLOOKUP($K18,'Calc-Drivers'!$B$17:$G$27,P$43,FALSE))," ",VLOOKUP($K18,'Calc-Drivers'!$B$17:$G$27,P$43,FALSE))</f>
        <v>0.40342374187534008</v>
      </c>
      <c r="S18" s="2">
        <f t="shared" si="6"/>
        <v>0.16485632590854946</v>
      </c>
      <c r="T18" s="2">
        <f t="shared" si="6"/>
        <v>0.34178353872943673</v>
      </c>
      <c r="U18" s="2">
        <f t="shared" si="6"/>
        <v>8.8291428569613195E-2</v>
      </c>
      <c r="V18" s="2">
        <f t="shared" si="6"/>
        <v>0.24027546816692461</v>
      </c>
      <c r="W18" s="2">
        <f t="shared" si="6"/>
        <v>0.56479323862547604</v>
      </c>
      <c r="Z18" s="2">
        <f t="shared" si="7"/>
        <v>0.16485632590854946</v>
      </c>
      <c r="AA18" s="2">
        <f t="shared" si="7"/>
        <v>0.34178353872943673</v>
      </c>
      <c r="AB18" s="2">
        <f t="shared" si="7"/>
        <v>8.8291428569613195E-2</v>
      </c>
      <c r="AC18" s="2">
        <f t="shared" si="8"/>
        <v>0.24027546816692461</v>
      </c>
      <c r="AD18" s="2">
        <f t="shared" si="8"/>
        <v>0.56479323862547604</v>
      </c>
      <c r="AG18" s="2">
        <f>IF(ISERROR(Z18*100000000/'Calc-Units'!$E$23)," ",Z18*100000000/'Calc-Units'!$E$23)</f>
        <v>9.8546187867445088E-4</v>
      </c>
      <c r="AH18" s="2">
        <f>IF(ISERROR(AA18*100000000/'Calc-Units'!$D$23)," ",AA18*100000000/'Calc-Units'!$D$23)</f>
        <v>2.3427572892592047E-3</v>
      </c>
      <c r="AI18" s="2">
        <f>IF(ISERROR(AB18*100000000/'Calc-Units'!$C$23)," ",AB18*100000000/'Calc-Units'!$C$23)</f>
        <v>7.7589507763758047E-4</v>
      </c>
      <c r="AJ18" s="2">
        <f>IF(ISERROR(AC18*100000000/'Calc-Units'!$C$23)," ",AC18*100000000/'Calc-Units'!$C$23)</f>
        <v>2.1115136095095884E-3</v>
      </c>
      <c r="AL18" s="2">
        <v>0.52569999999999995</v>
      </c>
      <c r="AM18" s="2">
        <f t="shared" si="9"/>
        <v>0.73597999999999986</v>
      </c>
      <c r="AN18" s="2">
        <f t="shared" si="10"/>
        <v>0.66402000000000005</v>
      </c>
      <c r="AQ18" s="2">
        <f t="shared" si="11"/>
        <v>7.8191355378425018E-2</v>
      </c>
      <c r="AR18" s="2">
        <f t="shared" si="11"/>
        <v>0.16210793241937185</v>
      </c>
      <c r="AS18" s="2">
        <f t="shared" si="11"/>
        <v>4.1876624570567546E-2</v>
      </c>
      <c r="AT18" s="2">
        <f t="shared" si="11"/>
        <v>0.11396265455157235</v>
      </c>
      <c r="AU18" s="2">
        <f t="shared" si="11"/>
        <v>0.26788143308006329</v>
      </c>
      <c r="AX18" s="2">
        <f>IF(ISERROR(AQ18*100000000/'Calc-Units'!$E$23)," ",AQ18*100000000/'Calc-Units'!$E$23)</f>
        <v>4.6740456905529219E-4</v>
      </c>
      <c r="AY18" s="2">
        <f>IF(ISERROR(AR18*100000000/'Calc-Units'!$D$23)," ",AR18*100000000/'Calc-Units'!$D$23)</f>
        <v>1.111169782295641E-3</v>
      </c>
      <c r="AZ18" s="2">
        <f>IF(ISERROR(AS18*100000000/'Calc-Units'!$C$23)," ",AS18*100000000/'Calc-Units'!$C$23)</f>
        <v>3.6800703532350449E-4</v>
      </c>
      <c r="BA18" s="2">
        <f>IF(ISERROR(AT18*100000000/'Calc-Units'!$C$23)," ",AT18*100000000/'Calc-Units'!$C$23)</f>
        <v>1.001490904990398E-3</v>
      </c>
    </row>
    <row r="19" spans="1:53">
      <c r="C19" s="2" t="s">
        <v>582</v>
      </c>
      <c r="D19" s="2">
        <f>'RRP 1.3'!P$12</f>
        <v>1.2000000000000002</v>
      </c>
      <c r="E19" s="2">
        <v>0</v>
      </c>
      <c r="F19" s="2">
        <v>0</v>
      </c>
      <c r="G19" s="2">
        <v>0</v>
      </c>
      <c r="H19" s="2">
        <v>0</v>
      </c>
      <c r="I19" s="2">
        <f t="shared" si="5"/>
        <v>1.2000000000000002</v>
      </c>
      <c r="K19" s="2" t="s">
        <v>893</v>
      </c>
      <c r="L19" s="2">
        <f>IF(ISERROR(VLOOKUP($K19,'Calc-Drivers'!$B$17:$G$27,L$43,FALSE))," ",VLOOKUP($K19,'Calc-Drivers'!$B$17:$G$27,L$43,FALSE))</f>
        <v>0.11775451850610677</v>
      </c>
      <c r="M19" s="2">
        <f>IF(ISERROR(VLOOKUP($K19,'Calc-Drivers'!$B$17:$G$27,M$43,FALSE))," ",VLOOKUP($K19,'Calc-Drivers'!$B$17:$G$27,M$43,FALSE))</f>
        <v>0.24413109909245481</v>
      </c>
      <c r="N19" s="2">
        <f>IF(ISERROR(VLOOKUP($K19,'Calc-Drivers'!$B$17:$G$27,N$43,FALSE))," ",VLOOKUP($K19,'Calc-Drivers'!$B$17:$G$27,N$43,FALSE))</f>
        <v>6.3065306121152284E-2</v>
      </c>
      <c r="O19" s="2">
        <f>IF(ISERROR(VLOOKUP($K19,'Calc-Drivers'!$B$17:$G$27,O$43,FALSE))," ",VLOOKUP($K19,'Calc-Drivers'!$B$17:$G$27,O$43,FALSE))</f>
        <v>0.17162533440494615</v>
      </c>
      <c r="P19" s="2">
        <f>IF(ISERROR(VLOOKUP($K19,'Calc-Drivers'!$B$17:$G$27,P$43,FALSE))," ",VLOOKUP($K19,'Calc-Drivers'!$B$17:$G$27,P$43,FALSE))</f>
        <v>0.40342374187534008</v>
      </c>
      <c r="S19" s="2">
        <f t="shared" si="6"/>
        <v>0.14130542220732814</v>
      </c>
      <c r="T19" s="2">
        <f t="shared" si="6"/>
        <v>0.29295731891094584</v>
      </c>
      <c r="U19" s="2">
        <f t="shared" si="6"/>
        <v>7.5678367345382747E-2</v>
      </c>
      <c r="V19" s="2">
        <f t="shared" si="6"/>
        <v>0.20595040128593542</v>
      </c>
      <c r="W19" s="2">
        <f t="shared" si="6"/>
        <v>0.48410849025040814</v>
      </c>
      <c r="Z19" s="2">
        <f t="shared" si="7"/>
        <v>0.14130542220732814</v>
      </c>
      <c r="AA19" s="2">
        <f t="shared" si="7"/>
        <v>0.29295731891094584</v>
      </c>
      <c r="AB19" s="2">
        <f t="shared" si="7"/>
        <v>7.5678367345382747E-2</v>
      </c>
      <c r="AC19" s="2">
        <f t="shared" si="8"/>
        <v>0.20595040128593542</v>
      </c>
      <c r="AD19" s="2">
        <f t="shared" si="8"/>
        <v>0.48410849025040814</v>
      </c>
      <c r="AG19" s="2">
        <f>IF(ISERROR(Z19*100000000/'Calc-Units'!$E$23)," ",Z19*100000000/'Calc-Units'!$E$23)</f>
        <v>8.4468161029238673E-4</v>
      </c>
      <c r="AH19" s="2">
        <f>IF(ISERROR(AA19*100000000/'Calc-Units'!$D$23)," ",AA19*100000000/'Calc-Units'!$D$23)</f>
        <v>2.0080776765078905E-3</v>
      </c>
      <c r="AI19" s="2">
        <f>IF(ISERROR(AB19*100000000/'Calc-Units'!$C$23)," ",AB19*100000000/'Calc-Units'!$C$23)</f>
        <v>6.6505292368935478E-4</v>
      </c>
      <c r="AJ19" s="2">
        <f>IF(ISERROR(AC19*100000000/'Calc-Units'!$C$23)," ",AC19*100000000/'Calc-Units'!$C$23)</f>
        <v>1.8098688081510763E-3</v>
      </c>
      <c r="AL19" s="2">
        <v>0.52569999999999995</v>
      </c>
      <c r="AM19" s="2">
        <f t="shared" si="9"/>
        <v>0.63084000000000007</v>
      </c>
      <c r="AN19" s="2">
        <f t="shared" si="10"/>
        <v>0.56916000000000011</v>
      </c>
      <c r="AQ19" s="2">
        <f t="shared" si="11"/>
        <v>6.7021161752935751E-2</v>
      </c>
      <c r="AR19" s="2">
        <f t="shared" si="11"/>
        <v>0.13894965635946163</v>
      </c>
      <c r="AS19" s="2">
        <f t="shared" si="11"/>
        <v>3.5894249631915044E-2</v>
      </c>
      <c r="AT19" s="2">
        <f t="shared" si="11"/>
        <v>9.7682275329919174E-2</v>
      </c>
      <c r="AU19" s="2">
        <f t="shared" si="11"/>
        <v>0.2296126569257686</v>
      </c>
      <c r="AX19" s="2">
        <f>IF(ISERROR(AQ19*100000000/'Calc-Units'!$E$23)," ",AQ19*100000000/'Calc-Units'!$E$23)</f>
        <v>4.0063248776167913E-4</v>
      </c>
      <c r="AY19" s="2">
        <f>IF(ISERROR(AR19*100000000/'Calc-Units'!$D$23)," ",AR19*100000000/'Calc-Units'!$D$23)</f>
        <v>9.5243124196769274E-4</v>
      </c>
      <c r="AZ19" s="2">
        <f>IF(ISERROR(AS19*100000000/'Calc-Units'!$C$23)," ",AS19*100000000/'Calc-Units'!$C$23)</f>
        <v>3.1543460170586104E-4</v>
      </c>
      <c r="BA19" s="2">
        <f>IF(ISERROR(AT19*100000000/'Calc-Units'!$C$23)," ",AT19*100000000/'Calc-Units'!$C$23)</f>
        <v>8.5842077570605553E-4</v>
      </c>
    </row>
    <row r="20" spans="1:53">
      <c r="C20" s="2" t="s">
        <v>583</v>
      </c>
      <c r="D20" s="2">
        <f>'RRP 1.3'!Q$12</f>
        <v>0.7</v>
      </c>
      <c r="E20" s="2">
        <v>0</v>
      </c>
      <c r="F20" s="2">
        <v>0</v>
      </c>
      <c r="G20" s="2">
        <v>0</v>
      </c>
      <c r="H20" s="2">
        <v>0</v>
      </c>
      <c r="I20" s="2">
        <f t="shared" si="5"/>
        <v>0.7</v>
      </c>
      <c r="K20" s="2" t="s">
        <v>893</v>
      </c>
      <c r="L20" s="2">
        <f>IF(ISERROR(VLOOKUP($K20,'Calc-Drivers'!$B$17:$G$27,L$43,FALSE))," ",VLOOKUP($K20,'Calc-Drivers'!$B$17:$G$27,L$43,FALSE))</f>
        <v>0.11775451850610677</v>
      </c>
      <c r="M20" s="2">
        <f>IF(ISERROR(VLOOKUP($K20,'Calc-Drivers'!$B$17:$G$27,M$43,FALSE))," ",VLOOKUP($K20,'Calc-Drivers'!$B$17:$G$27,M$43,FALSE))</f>
        <v>0.24413109909245481</v>
      </c>
      <c r="N20" s="2">
        <f>IF(ISERROR(VLOOKUP($K20,'Calc-Drivers'!$B$17:$G$27,N$43,FALSE))," ",VLOOKUP($K20,'Calc-Drivers'!$B$17:$G$27,N$43,FALSE))</f>
        <v>6.3065306121152284E-2</v>
      </c>
      <c r="O20" s="2">
        <f>IF(ISERROR(VLOOKUP($K20,'Calc-Drivers'!$B$17:$G$27,O$43,FALSE))," ",VLOOKUP($K20,'Calc-Drivers'!$B$17:$G$27,O$43,FALSE))</f>
        <v>0.17162533440494615</v>
      </c>
      <c r="P20" s="2">
        <f>IF(ISERROR(VLOOKUP($K20,'Calc-Drivers'!$B$17:$G$27,P$43,FALSE))," ",VLOOKUP($K20,'Calc-Drivers'!$B$17:$G$27,P$43,FALSE))</f>
        <v>0.40342374187534008</v>
      </c>
      <c r="S20" s="2">
        <f t="shared" si="6"/>
        <v>8.2428162954274728E-2</v>
      </c>
      <c r="T20" s="2">
        <f t="shared" si="6"/>
        <v>0.17089176936471837</v>
      </c>
      <c r="U20" s="2">
        <f t="shared" si="6"/>
        <v>4.4145714284806598E-2</v>
      </c>
      <c r="V20" s="2">
        <f t="shared" si="6"/>
        <v>0.1201377340834623</v>
      </c>
      <c r="W20" s="2">
        <f t="shared" si="6"/>
        <v>0.28239661931273802</v>
      </c>
      <c r="Z20" s="2">
        <f t="shared" si="7"/>
        <v>8.2428162954274728E-2</v>
      </c>
      <c r="AA20" s="2">
        <f t="shared" si="7"/>
        <v>0.17089176936471837</v>
      </c>
      <c r="AB20" s="2">
        <f t="shared" si="7"/>
        <v>4.4145714284806598E-2</v>
      </c>
      <c r="AC20" s="2">
        <f t="shared" si="8"/>
        <v>0.1201377340834623</v>
      </c>
      <c r="AD20" s="2">
        <f t="shared" si="8"/>
        <v>0.28239661931273802</v>
      </c>
      <c r="AG20" s="2">
        <f>IF(ISERROR(Z20*100000000/'Calc-Units'!$E$23)," ",Z20*100000000/'Calc-Units'!$E$23)</f>
        <v>4.9273093933722544E-4</v>
      </c>
      <c r="AH20" s="2">
        <f>IF(ISERROR(AA20*100000000/'Calc-Units'!$D$23)," ",AA20*100000000/'Calc-Units'!$D$23)</f>
        <v>1.1713786446296023E-3</v>
      </c>
      <c r="AI20" s="2">
        <f>IF(ISERROR(AB20*100000000/'Calc-Units'!$C$23)," ",AB20*100000000/'Calc-Units'!$C$23)</f>
        <v>3.8794753881879024E-4</v>
      </c>
      <c r="AJ20" s="2">
        <f>IF(ISERROR(AC20*100000000/'Calc-Units'!$C$23)," ",AC20*100000000/'Calc-Units'!$C$23)</f>
        <v>1.0557568047547942E-3</v>
      </c>
      <c r="AL20" s="2">
        <v>0.52569999999999995</v>
      </c>
      <c r="AM20" s="2">
        <f t="shared" si="9"/>
        <v>0.36798999999999993</v>
      </c>
      <c r="AN20" s="2">
        <f t="shared" si="10"/>
        <v>0.33201000000000003</v>
      </c>
      <c r="AQ20" s="2">
        <f t="shared" si="11"/>
        <v>3.9095677689212509E-2</v>
      </c>
      <c r="AR20" s="2">
        <f t="shared" si="11"/>
        <v>8.1053966209685926E-2</v>
      </c>
      <c r="AS20" s="2">
        <f t="shared" si="11"/>
        <v>2.0938312285283773E-2</v>
      </c>
      <c r="AT20" s="2">
        <f t="shared" si="11"/>
        <v>5.6981327275786177E-2</v>
      </c>
      <c r="AU20" s="2">
        <f t="shared" si="11"/>
        <v>0.13394071654003165</v>
      </c>
      <c r="AX20" s="2">
        <f>IF(ISERROR(AQ20*100000000/'Calc-Units'!$E$23)," ",AQ20*100000000/'Calc-Units'!$E$23)</f>
        <v>2.3370228452764609E-4</v>
      </c>
      <c r="AY20" s="2">
        <f>IF(ISERROR(AR20*100000000/'Calc-Units'!$D$23)," ",AR20*100000000/'Calc-Units'!$D$23)</f>
        <v>5.5558489114782049E-4</v>
      </c>
      <c r="AZ20" s="2">
        <f>IF(ISERROR(AS20*100000000/'Calc-Units'!$C$23)," ",AS20*100000000/'Calc-Units'!$C$23)</f>
        <v>1.8400351766175224E-4</v>
      </c>
      <c r="BA20" s="2">
        <f>IF(ISERROR(AT20*100000000/'Calc-Units'!$C$23)," ",AT20*100000000/'Calc-Units'!$C$23)</f>
        <v>5.00745452495199E-4</v>
      </c>
    </row>
    <row r="21" spans="1:53">
      <c r="C21" s="2" t="s">
        <v>584</v>
      </c>
      <c r="D21" s="2">
        <f>'RRP 1.3'!R$12</f>
        <v>3</v>
      </c>
      <c r="E21" s="2">
        <v>0</v>
      </c>
      <c r="F21" s="2">
        <v>0</v>
      </c>
      <c r="G21" s="2">
        <v>0</v>
      </c>
      <c r="H21" s="2">
        <v>0</v>
      </c>
      <c r="I21" s="2">
        <f t="shared" si="5"/>
        <v>3</v>
      </c>
      <c r="K21" s="2" t="s">
        <v>893</v>
      </c>
      <c r="L21" s="2">
        <f>IF(ISERROR(VLOOKUP($K21,'Calc-Drivers'!$B$17:$G$27,L$43,FALSE))," ",VLOOKUP($K21,'Calc-Drivers'!$B$17:$G$27,L$43,FALSE))</f>
        <v>0.11775451850610677</v>
      </c>
      <c r="M21" s="2">
        <f>IF(ISERROR(VLOOKUP($K21,'Calc-Drivers'!$B$17:$G$27,M$43,FALSE))," ",VLOOKUP($K21,'Calc-Drivers'!$B$17:$G$27,M$43,FALSE))</f>
        <v>0.24413109909245481</v>
      </c>
      <c r="N21" s="2">
        <f>IF(ISERROR(VLOOKUP($K21,'Calc-Drivers'!$B$17:$G$27,N$43,FALSE))," ",VLOOKUP($K21,'Calc-Drivers'!$B$17:$G$27,N$43,FALSE))</f>
        <v>6.3065306121152284E-2</v>
      </c>
      <c r="O21" s="2">
        <f>IF(ISERROR(VLOOKUP($K21,'Calc-Drivers'!$B$17:$G$27,O$43,FALSE))," ",VLOOKUP($K21,'Calc-Drivers'!$B$17:$G$27,O$43,FALSE))</f>
        <v>0.17162533440494615</v>
      </c>
      <c r="P21" s="2">
        <f>IF(ISERROR(VLOOKUP($K21,'Calc-Drivers'!$B$17:$G$27,P$43,FALSE))," ",VLOOKUP($K21,'Calc-Drivers'!$B$17:$G$27,P$43,FALSE))</f>
        <v>0.40342374187534008</v>
      </c>
      <c r="S21" s="2">
        <f t="shared" si="6"/>
        <v>0.35326355551832034</v>
      </c>
      <c r="T21" s="2">
        <f t="shared" si="6"/>
        <v>0.73239329727736446</v>
      </c>
      <c r="U21" s="2">
        <f t="shared" si="6"/>
        <v>0.18919591836345684</v>
      </c>
      <c r="V21" s="2">
        <f t="shared" si="6"/>
        <v>0.51487600321483851</v>
      </c>
      <c r="W21" s="2">
        <f t="shared" si="6"/>
        <v>1.2102712256260202</v>
      </c>
      <c r="Z21" s="2">
        <f t="shared" si="7"/>
        <v>0.35326355551832034</v>
      </c>
      <c r="AA21" s="2">
        <f t="shared" si="7"/>
        <v>0.73239329727736446</v>
      </c>
      <c r="AB21" s="2">
        <f t="shared" si="7"/>
        <v>0.18919591836345684</v>
      </c>
      <c r="AC21" s="2">
        <f t="shared" si="8"/>
        <v>0.51487600321483851</v>
      </c>
      <c r="AD21" s="2">
        <f t="shared" si="8"/>
        <v>1.2102712256260202</v>
      </c>
      <c r="AG21" s="2">
        <f>IF(ISERROR(Z21*100000000/'Calc-Units'!$E$23)," ",Z21*100000000/'Calc-Units'!$E$23)</f>
        <v>2.1117040257309671E-3</v>
      </c>
      <c r="AH21" s="2">
        <f>IF(ISERROR(AA21*100000000/'Calc-Units'!$D$23)," ",AA21*100000000/'Calc-Units'!$D$23)</f>
        <v>5.0201941912697253E-3</v>
      </c>
      <c r="AI21" s="2">
        <f>IF(ISERROR(AB21*100000000/'Calc-Units'!$C$23)," ",AB21*100000000/'Calc-Units'!$C$23)</f>
        <v>1.6626323092233867E-3</v>
      </c>
      <c r="AJ21" s="2">
        <f>IF(ISERROR(AC21*100000000/'Calc-Units'!$C$23)," ",AC21*100000000/'Calc-Units'!$C$23)</f>
        <v>4.5246720203776904E-3</v>
      </c>
      <c r="AL21" s="2">
        <v>0.52569999999999995</v>
      </c>
      <c r="AM21" s="2">
        <f t="shared" si="9"/>
        <v>1.5770999999999997</v>
      </c>
      <c r="AN21" s="2">
        <f t="shared" si="10"/>
        <v>1.4229000000000003</v>
      </c>
      <c r="AQ21" s="2">
        <f t="shared" si="11"/>
        <v>0.16755290438233936</v>
      </c>
      <c r="AR21" s="2">
        <f t="shared" si="11"/>
        <v>0.34737414089865398</v>
      </c>
      <c r="AS21" s="2">
        <f t="shared" si="11"/>
        <v>8.9735624079787593E-2</v>
      </c>
      <c r="AT21" s="2">
        <f t="shared" si="11"/>
        <v>0.24420568832479794</v>
      </c>
      <c r="AU21" s="2">
        <f t="shared" si="11"/>
        <v>0.57403164231442139</v>
      </c>
      <c r="AX21" s="2">
        <f>IF(ISERROR(AQ21*100000000/'Calc-Units'!$E$23)," ",AQ21*100000000/'Calc-Units'!$E$23)</f>
        <v>1.0015812194041978E-3</v>
      </c>
      <c r="AY21" s="2">
        <f>IF(ISERROR(AR21*100000000/'Calc-Units'!$D$23)," ",AR21*100000000/'Calc-Units'!$D$23)</f>
        <v>2.3810781049192313E-3</v>
      </c>
      <c r="AZ21" s="2">
        <f>IF(ISERROR(AS21*100000000/'Calc-Units'!$C$23)," ",AS21*100000000/'Calc-Units'!$C$23)</f>
        <v>7.8858650426465247E-4</v>
      </c>
      <c r="BA21" s="2">
        <f>IF(ISERROR(AT21*100000000/'Calc-Units'!$C$23)," ",AT21*100000000/'Calc-Units'!$C$23)</f>
        <v>2.1460519392651387E-3</v>
      </c>
    </row>
    <row r="22" spans="1:53">
      <c r="C22" s="2" t="s">
        <v>585</v>
      </c>
      <c r="D22" s="2">
        <f>'RRP 1.3'!S$12</f>
        <v>6.3999999999999986</v>
      </c>
      <c r="E22" s="2">
        <v>0</v>
      </c>
      <c r="F22" s="2">
        <v>0</v>
      </c>
      <c r="G22" s="2">
        <v>0</v>
      </c>
      <c r="H22" s="2">
        <v>0</v>
      </c>
      <c r="I22" s="2">
        <f t="shared" si="5"/>
        <v>6.3999999999999986</v>
      </c>
      <c r="K22" s="2" t="s">
        <v>895</v>
      </c>
      <c r="L22" s="2" t="str">
        <f>IF(ISERROR(VLOOKUP($K22,'Calc-Drivers'!$B$17:$G$27,L$43,FALSE))," ",VLOOKUP($K22,'Calc-Drivers'!$B$17:$G$27,L$43,FALSE))</f>
        <v xml:space="preserve"> </v>
      </c>
      <c r="M22" s="2" t="str">
        <f>IF(ISERROR(VLOOKUP($K22,'Calc-Drivers'!$B$17:$G$27,M$43,FALSE))," ",VLOOKUP($K22,'Calc-Drivers'!$B$17:$G$27,M$43,FALSE))</f>
        <v xml:space="preserve"> </v>
      </c>
      <c r="N22" s="2" t="str">
        <f>IF(ISERROR(VLOOKUP($K22,'Calc-Drivers'!$B$17:$G$27,N$43,FALSE))," ",VLOOKUP($K22,'Calc-Drivers'!$B$17:$G$27,N$43,FALSE))</f>
        <v xml:space="preserve"> </v>
      </c>
      <c r="O22" s="2" t="str">
        <f>IF(ISERROR(VLOOKUP($K22,'Calc-Drivers'!$B$17:$G$27,O$43,FALSE))," ",VLOOKUP($K22,'Calc-Drivers'!$B$17:$G$27,O$43,FALSE))</f>
        <v xml:space="preserve"> </v>
      </c>
      <c r="P22" s="2" t="str">
        <f>IF(ISERROR(VLOOKUP($K22,'Calc-Drivers'!$B$17:$G$27,P$43,FALSE))," ",VLOOKUP($K22,'Calc-Drivers'!$B$17:$G$27,P$43,FALSE))</f>
        <v xml:space="preserve"> </v>
      </c>
      <c r="S22" s="2" t="str">
        <f t="shared" si="6"/>
        <v xml:space="preserve"> </v>
      </c>
      <c r="T22" s="2" t="str">
        <f t="shared" si="6"/>
        <v xml:space="preserve"> </v>
      </c>
      <c r="U22" s="2" t="str">
        <f t="shared" si="6"/>
        <v xml:space="preserve"> </v>
      </c>
      <c r="V22" s="2" t="str">
        <f t="shared" si="6"/>
        <v xml:space="preserve"> </v>
      </c>
      <c r="W22" s="2" t="str">
        <f t="shared" si="6"/>
        <v xml:space="preserve"> </v>
      </c>
      <c r="Z22" s="2" t="str">
        <f t="shared" si="7"/>
        <v xml:space="preserve"> </v>
      </c>
      <c r="AA22" s="2" t="str">
        <f t="shared" si="7"/>
        <v xml:space="preserve"> </v>
      </c>
      <c r="AB22" s="2" t="str">
        <f t="shared" si="7"/>
        <v xml:space="preserve"> </v>
      </c>
      <c r="AC22" s="2" t="str">
        <f t="shared" si="8"/>
        <v xml:space="preserve"> </v>
      </c>
      <c r="AD22" s="2" t="str">
        <f t="shared" si="8"/>
        <v xml:space="preserve"> </v>
      </c>
      <c r="AG22" s="2" t="str">
        <f>IF(ISERROR(Z22*100000000/'Calc-Units'!$E$23)," ",Z22*100000000/'Calc-Units'!$E$23)</f>
        <v xml:space="preserve"> </v>
      </c>
      <c r="AH22" s="2" t="str">
        <f>IF(ISERROR(AA22*100000000/'Calc-Units'!$D$23)," ",AA22*100000000/'Calc-Units'!$D$23)</f>
        <v xml:space="preserve"> </v>
      </c>
      <c r="AI22" s="2" t="str">
        <f>IF(ISERROR(AB22*100000000/'Calc-Units'!$C$23)," ",AB22*100000000/'Calc-Units'!$C$23)</f>
        <v xml:space="preserve"> </v>
      </c>
      <c r="AJ22" s="2" t="str">
        <f>IF(ISERROR(AC22*100000000/'Calc-Units'!$C$23)," ",AC22*100000000/'Calc-Units'!$C$23)</f>
        <v xml:space="preserve"> </v>
      </c>
      <c r="AL22" s="2">
        <v>0.52569999999999995</v>
      </c>
      <c r="AM22" s="2">
        <f t="shared" si="9"/>
        <v>3.364479999999999</v>
      </c>
      <c r="AN22" s="2">
        <f t="shared" si="10"/>
        <v>3.0355199999999996</v>
      </c>
      <c r="AQ22" s="2" t="str">
        <f t="shared" si="11"/>
        <v xml:space="preserve"> </v>
      </c>
      <c r="AR22" s="2" t="str">
        <f t="shared" si="11"/>
        <v xml:space="preserve"> </v>
      </c>
      <c r="AS22" s="2" t="str">
        <f t="shared" si="11"/>
        <v xml:space="preserve"> </v>
      </c>
      <c r="AT22" s="2" t="str">
        <f t="shared" si="11"/>
        <v xml:space="preserve"> </v>
      </c>
      <c r="AU22" s="2" t="str">
        <f t="shared" si="11"/>
        <v xml:space="preserve"> </v>
      </c>
      <c r="AX22" s="2" t="str">
        <f>IF(ISERROR(AQ22*100000000/'Calc-Units'!$E$23)," ",AQ22*100000000/'Calc-Units'!$E$23)</f>
        <v xml:space="preserve"> </v>
      </c>
      <c r="AY22" s="2" t="str">
        <f>IF(ISERROR(AR22*100000000/'Calc-Units'!$D$23)," ",AR22*100000000/'Calc-Units'!$D$23)</f>
        <v xml:space="preserve"> </v>
      </c>
      <c r="AZ22" s="2" t="str">
        <f>IF(ISERROR(AS22*100000000/'Calc-Units'!$C$23)," ",AS22*100000000/'Calc-Units'!$C$23)</f>
        <v xml:space="preserve"> </v>
      </c>
      <c r="BA22" s="2" t="str">
        <f>IF(ISERROR(AT22*100000000/'Calc-Units'!$C$23)," ",AT22*100000000/'Calc-Units'!$C$23)</f>
        <v xml:space="preserve"> </v>
      </c>
    </row>
    <row r="23" spans="1:53">
      <c r="C23" s="2" t="s">
        <v>586</v>
      </c>
      <c r="D23" s="2">
        <f>'RRP 1.3'!T$12</f>
        <v>2.6</v>
      </c>
      <c r="E23" s="2">
        <v>0</v>
      </c>
      <c r="F23" s="2">
        <v>0</v>
      </c>
      <c r="G23" s="2">
        <v>0</v>
      </c>
      <c r="H23" s="2">
        <v>0</v>
      </c>
      <c r="I23" s="2">
        <f t="shared" si="5"/>
        <v>2.6</v>
      </c>
      <c r="K23" s="2" t="s">
        <v>895</v>
      </c>
      <c r="L23" s="2" t="str">
        <f>IF(ISERROR(VLOOKUP($K23,'Calc-Drivers'!$B$17:$G$27,L$43,FALSE))," ",VLOOKUP($K23,'Calc-Drivers'!$B$17:$G$27,L$43,FALSE))</f>
        <v xml:space="preserve"> </v>
      </c>
      <c r="M23" s="2" t="str">
        <f>IF(ISERROR(VLOOKUP($K23,'Calc-Drivers'!$B$17:$G$27,M$43,FALSE))," ",VLOOKUP($K23,'Calc-Drivers'!$B$17:$G$27,M$43,FALSE))</f>
        <v xml:space="preserve"> </v>
      </c>
      <c r="N23" s="2" t="str">
        <f>IF(ISERROR(VLOOKUP($K23,'Calc-Drivers'!$B$17:$G$27,N$43,FALSE))," ",VLOOKUP($K23,'Calc-Drivers'!$B$17:$G$27,N$43,FALSE))</f>
        <v xml:space="preserve"> </v>
      </c>
      <c r="O23" s="2" t="str">
        <f>IF(ISERROR(VLOOKUP($K23,'Calc-Drivers'!$B$17:$G$27,O$43,FALSE))," ",VLOOKUP($K23,'Calc-Drivers'!$B$17:$G$27,O$43,FALSE))</f>
        <v xml:space="preserve"> </v>
      </c>
      <c r="P23" s="2" t="str">
        <f>IF(ISERROR(VLOOKUP($K23,'Calc-Drivers'!$B$17:$G$27,P$43,FALSE))," ",VLOOKUP($K23,'Calc-Drivers'!$B$17:$G$27,P$43,FALSE))</f>
        <v xml:space="preserve"> </v>
      </c>
      <c r="S23" s="2" t="str">
        <f t="shared" si="6"/>
        <v xml:space="preserve"> </v>
      </c>
      <c r="T23" s="2" t="str">
        <f t="shared" si="6"/>
        <v xml:space="preserve"> </v>
      </c>
      <c r="U23" s="2" t="str">
        <f t="shared" si="6"/>
        <v xml:space="preserve"> </v>
      </c>
      <c r="V23" s="2" t="str">
        <f t="shared" si="6"/>
        <v xml:space="preserve"> </v>
      </c>
      <c r="W23" s="2" t="str">
        <f t="shared" si="6"/>
        <v xml:space="preserve"> </v>
      </c>
      <c r="Z23" s="2" t="str">
        <f t="shared" si="7"/>
        <v xml:space="preserve"> </v>
      </c>
      <c r="AA23" s="2" t="str">
        <f t="shared" si="7"/>
        <v xml:space="preserve"> </v>
      </c>
      <c r="AB23" s="2" t="str">
        <f t="shared" si="7"/>
        <v xml:space="preserve"> </v>
      </c>
      <c r="AC23" s="2" t="str">
        <f t="shared" si="8"/>
        <v xml:space="preserve"> </v>
      </c>
      <c r="AD23" s="2" t="str">
        <f t="shared" si="8"/>
        <v xml:space="preserve"> </v>
      </c>
      <c r="AG23" s="2" t="str">
        <f>IF(ISERROR(Z23*100000000/'Calc-Units'!$E$23)," ",Z23*100000000/'Calc-Units'!$E$23)</f>
        <v xml:space="preserve"> </v>
      </c>
      <c r="AH23" s="2" t="str">
        <f>IF(ISERROR(AA23*100000000/'Calc-Units'!$D$23)," ",AA23*100000000/'Calc-Units'!$D$23)</f>
        <v xml:space="preserve"> </v>
      </c>
      <c r="AI23" s="2" t="str">
        <f>IF(ISERROR(AB23*100000000/'Calc-Units'!$C$23)," ",AB23*100000000/'Calc-Units'!$C$23)</f>
        <v xml:space="preserve"> </v>
      </c>
      <c r="AJ23" s="2" t="str">
        <f>IF(ISERROR(AC23*100000000/'Calc-Units'!$C$23)," ",AC23*100000000/'Calc-Units'!$C$23)</f>
        <v xml:space="preserve"> </v>
      </c>
      <c r="AL23" s="2">
        <v>0.52569999999999995</v>
      </c>
      <c r="AM23" s="2">
        <f t="shared" si="9"/>
        <v>1.3668199999999999</v>
      </c>
      <c r="AN23" s="2">
        <f t="shared" si="10"/>
        <v>1.2331800000000002</v>
      </c>
      <c r="AQ23" s="2" t="str">
        <f t="shared" si="11"/>
        <v xml:space="preserve"> </v>
      </c>
      <c r="AR23" s="2" t="str">
        <f t="shared" si="11"/>
        <v xml:space="preserve"> </v>
      </c>
      <c r="AS23" s="2" t="str">
        <f t="shared" si="11"/>
        <v xml:space="preserve"> </v>
      </c>
      <c r="AT23" s="2" t="str">
        <f t="shared" si="11"/>
        <v xml:space="preserve"> </v>
      </c>
      <c r="AU23" s="2" t="str">
        <f t="shared" si="11"/>
        <v xml:space="preserve"> </v>
      </c>
      <c r="AX23" s="2" t="str">
        <f>IF(ISERROR(AQ23*100000000/'Calc-Units'!$E$23)," ",AQ23*100000000/'Calc-Units'!$E$23)</f>
        <v xml:space="preserve"> </v>
      </c>
      <c r="AY23" s="2" t="str">
        <f>IF(ISERROR(AR23*100000000/'Calc-Units'!$D$23)," ",AR23*100000000/'Calc-Units'!$D$23)</f>
        <v xml:space="preserve"> </v>
      </c>
      <c r="AZ23" s="2" t="str">
        <f>IF(ISERROR(AS23*100000000/'Calc-Units'!$C$23)," ",AS23*100000000/'Calc-Units'!$C$23)</f>
        <v xml:space="preserve"> </v>
      </c>
      <c r="BA23" s="2" t="str">
        <f>IF(ISERROR(AT23*100000000/'Calc-Units'!$C$23)," ",AT23*100000000/'Calc-Units'!$C$23)</f>
        <v xml:space="preserve"> </v>
      </c>
    </row>
    <row r="24" spans="1:53">
      <c r="C24" s="2" t="s">
        <v>587</v>
      </c>
      <c r="D24" s="2">
        <f>'RRP 1.3'!U$12</f>
        <v>1</v>
      </c>
      <c r="E24" s="2">
        <v>0</v>
      </c>
      <c r="F24" s="2">
        <v>0</v>
      </c>
      <c r="G24" s="2">
        <v>0</v>
      </c>
      <c r="H24" s="2">
        <v>0</v>
      </c>
      <c r="I24" s="2">
        <f t="shared" si="5"/>
        <v>1</v>
      </c>
      <c r="K24" s="2" t="s">
        <v>893</v>
      </c>
      <c r="L24" s="2">
        <f>IF(ISERROR(VLOOKUP($K24,'Calc-Drivers'!$B$17:$G$27,L$43,FALSE))," ",VLOOKUP($K24,'Calc-Drivers'!$B$17:$G$27,L$43,FALSE))</f>
        <v>0.11775451850610677</v>
      </c>
      <c r="M24" s="2">
        <f>IF(ISERROR(VLOOKUP($K24,'Calc-Drivers'!$B$17:$G$27,M$43,FALSE))," ",VLOOKUP($K24,'Calc-Drivers'!$B$17:$G$27,M$43,FALSE))</f>
        <v>0.24413109909245481</v>
      </c>
      <c r="N24" s="2">
        <f>IF(ISERROR(VLOOKUP($K24,'Calc-Drivers'!$B$17:$G$27,N$43,FALSE))," ",VLOOKUP($K24,'Calc-Drivers'!$B$17:$G$27,N$43,FALSE))</f>
        <v>6.3065306121152284E-2</v>
      </c>
      <c r="O24" s="2">
        <f>IF(ISERROR(VLOOKUP($K24,'Calc-Drivers'!$B$17:$G$27,O$43,FALSE))," ",VLOOKUP($K24,'Calc-Drivers'!$B$17:$G$27,O$43,FALSE))</f>
        <v>0.17162533440494615</v>
      </c>
      <c r="P24" s="2">
        <f>IF(ISERROR(VLOOKUP($K24,'Calc-Drivers'!$B$17:$G$27,P$43,FALSE))," ",VLOOKUP($K24,'Calc-Drivers'!$B$17:$G$27,P$43,FALSE))</f>
        <v>0.40342374187534008</v>
      </c>
      <c r="S24" s="2">
        <f t="shared" si="6"/>
        <v>0.11775451850610677</v>
      </c>
      <c r="T24" s="2">
        <f t="shared" si="6"/>
        <v>0.24413109909245481</v>
      </c>
      <c r="U24" s="2">
        <f t="shared" si="6"/>
        <v>6.3065306121152284E-2</v>
      </c>
      <c r="V24" s="2">
        <f t="shared" si="6"/>
        <v>0.17162533440494615</v>
      </c>
      <c r="W24" s="2">
        <f t="shared" si="6"/>
        <v>0.40342374187534008</v>
      </c>
      <c r="Z24" s="2">
        <f t="shared" si="7"/>
        <v>0.11775451850610677</v>
      </c>
      <c r="AA24" s="2">
        <f t="shared" si="7"/>
        <v>0.24413109909245481</v>
      </c>
      <c r="AB24" s="2">
        <f t="shared" si="7"/>
        <v>6.3065306121152284E-2</v>
      </c>
      <c r="AC24" s="2">
        <f t="shared" si="8"/>
        <v>0.17162533440494615</v>
      </c>
      <c r="AD24" s="2">
        <f t="shared" si="8"/>
        <v>0.40342374187534008</v>
      </c>
      <c r="AG24" s="2">
        <f>IF(ISERROR(Z24*100000000/'Calc-Units'!$E$23)," ",Z24*100000000/'Calc-Units'!$E$23)</f>
        <v>7.0390134191032226E-4</v>
      </c>
      <c r="AH24" s="2">
        <f>IF(ISERROR(AA24*100000000/'Calc-Units'!$D$23)," ",AA24*100000000/'Calc-Units'!$D$23)</f>
        <v>1.6733980637565751E-3</v>
      </c>
      <c r="AI24" s="2">
        <f>IF(ISERROR(AB24*100000000/'Calc-Units'!$C$23)," ",AB24*100000000/'Calc-Units'!$C$23)</f>
        <v>5.5421076974112899E-4</v>
      </c>
      <c r="AJ24" s="2">
        <f>IF(ISERROR(AC24*100000000/'Calc-Units'!$C$23)," ",AC24*100000000/'Calc-Units'!$C$23)</f>
        <v>1.5082240067925633E-3</v>
      </c>
      <c r="AL24" s="2">
        <v>0.52569999999999995</v>
      </c>
      <c r="AM24" s="2">
        <f t="shared" si="9"/>
        <v>0.52569999999999995</v>
      </c>
      <c r="AN24" s="2">
        <f t="shared" si="10"/>
        <v>0.47430000000000005</v>
      </c>
      <c r="AQ24" s="2">
        <f t="shared" si="11"/>
        <v>5.585096812744645E-2</v>
      </c>
      <c r="AR24" s="2">
        <f t="shared" si="11"/>
        <v>0.11579138029955133</v>
      </c>
      <c r="AS24" s="2">
        <f t="shared" si="11"/>
        <v>2.9911874693262532E-2</v>
      </c>
      <c r="AT24" s="2">
        <f t="shared" si="11"/>
        <v>8.1401896108265967E-2</v>
      </c>
      <c r="AU24" s="2">
        <f t="shared" si="11"/>
        <v>0.19134388077147382</v>
      </c>
      <c r="AX24" s="2">
        <f>IF(ISERROR(AQ24*100000000/'Calc-Units'!$E$23)," ",AQ24*100000000/'Calc-Units'!$E$23)</f>
        <v>3.3386040646806592E-4</v>
      </c>
      <c r="AY24" s="2">
        <f>IF(ISERROR(AR24*100000000/'Calc-Units'!$D$23)," ",AR24*100000000/'Calc-Units'!$D$23)</f>
        <v>7.9369270163974362E-4</v>
      </c>
      <c r="AZ24" s="2">
        <f>IF(ISERROR(AS24*100000000/'Calc-Units'!$C$23)," ",AS24*100000000/'Calc-Units'!$C$23)</f>
        <v>2.6286216808821749E-4</v>
      </c>
      <c r="BA24" s="2">
        <f>IF(ISERROR(AT24*100000000/'Calc-Units'!$C$23)," ",AT24*100000000/'Calc-Units'!$C$23)</f>
        <v>7.1535064642171283E-4</v>
      </c>
    </row>
    <row r="25" spans="1:53">
      <c r="C25" s="2" t="s">
        <v>588</v>
      </c>
      <c r="D25" s="2">
        <f>'RRP 1.3'!V$12</f>
        <v>0.90000000000000013</v>
      </c>
      <c r="E25" s="2">
        <v>0</v>
      </c>
      <c r="F25" s="2">
        <v>0</v>
      </c>
      <c r="G25" s="2">
        <v>0</v>
      </c>
      <c r="H25" s="2">
        <v>0</v>
      </c>
      <c r="I25" s="2">
        <f t="shared" si="5"/>
        <v>0.90000000000000013</v>
      </c>
      <c r="K25" s="2" t="s">
        <v>893</v>
      </c>
      <c r="L25" s="2">
        <f>IF(ISERROR(VLOOKUP($K25,'Calc-Drivers'!$B$17:$G$27,L$43,FALSE))," ",VLOOKUP($K25,'Calc-Drivers'!$B$17:$G$27,L$43,FALSE))</f>
        <v>0.11775451850610677</v>
      </c>
      <c r="M25" s="2">
        <f>IF(ISERROR(VLOOKUP($K25,'Calc-Drivers'!$B$17:$G$27,M$43,FALSE))," ",VLOOKUP($K25,'Calc-Drivers'!$B$17:$G$27,M$43,FALSE))</f>
        <v>0.24413109909245481</v>
      </c>
      <c r="N25" s="2">
        <f>IF(ISERROR(VLOOKUP($K25,'Calc-Drivers'!$B$17:$G$27,N$43,FALSE))," ",VLOOKUP($K25,'Calc-Drivers'!$B$17:$G$27,N$43,FALSE))</f>
        <v>6.3065306121152284E-2</v>
      </c>
      <c r="O25" s="2">
        <f>IF(ISERROR(VLOOKUP($K25,'Calc-Drivers'!$B$17:$G$27,O$43,FALSE))," ",VLOOKUP($K25,'Calc-Drivers'!$B$17:$G$27,O$43,FALSE))</f>
        <v>0.17162533440494615</v>
      </c>
      <c r="P25" s="2">
        <f>IF(ISERROR(VLOOKUP($K25,'Calc-Drivers'!$B$17:$G$27,P$43,FALSE))," ",VLOOKUP($K25,'Calc-Drivers'!$B$17:$G$27,P$43,FALSE))</f>
        <v>0.40342374187534008</v>
      </c>
      <c r="S25" s="2">
        <f t="shared" si="6"/>
        <v>0.10597906665549611</v>
      </c>
      <c r="T25" s="2">
        <f t="shared" si="6"/>
        <v>0.21971798918320937</v>
      </c>
      <c r="U25" s="2">
        <f t="shared" si="6"/>
        <v>5.6758775509037067E-2</v>
      </c>
      <c r="V25" s="2">
        <f t="shared" si="6"/>
        <v>0.15446280096445156</v>
      </c>
      <c r="W25" s="2">
        <f t="shared" si="6"/>
        <v>0.36308136768780613</v>
      </c>
      <c r="Z25" s="2">
        <f t="shared" si="7"/>
        <v>0.10597906665549611</v>
      </c>
      <c r="AA25" s="2">
        <f t="shared" si="7"/>
        <v>0.21971798918320937</v>
      </c>
      <c r="AB25" s="2">
        <f t="shared" si="7"/>
        <v>5.6758775509037067E-2</v>
      </c>
      <c r="AC25" s="2">
        <f t="shared" si="8"/>
        <v>0.15446280096445156</v>
      </c>
      <c r="AD25" s="2">
        <f t="shared" si="8"/>
        <v>0.36308136768780613</v>
      </c>
      <c r="AG25" s="2">
        <f>IF(ISERROR(Z25*100000000/'Calc-Units'!$E$23)," ",Z25*100000000/'Calc-Units'!$E$23)</f>
        <v>6.3351120771929013E-4</v>
      </c>
      <c r="AH25" s="2">
        <f>IF(ISERROR(AA25*100000000/'Calc-Units'!$D$23)," ",AA25*100000000/'Calc-Units'!$D$23)</f>
        <v>1.5060582573809178E-3</v>
      </c>
      <c r="AI25" s="2">
        <f>IF(ISERROR(AB25*100000000/'Calc-Units'!$C$23)," ",AB25*100000000/'Calc-Units'!$C$23)</f>
        <v>4.987896927670162E-4</v>
      </c>
      <c r="AJ25" s="2">
        <f>IF(ISERROR(AC25*100000000/'Calc-Units'!$C$23)," ",AC25*100000000/'Calc-Units'!$C$23)</f>
        <v>1.3574016061133072E-3</v>
      </c>
      <c r="AL25" s="2">
        <v>0.52569999999999995</v>
      </c>
      <c r="AM25" s="2">
        <f t="shared" si="9"/>
        <v>0.47313</v>
      </c>
      <c r="AN25" s="2">
        <f t="shared" si="10"/>
        <v>0.42687000000000014</v>
      </c>
      <c r="AQ25" s="2">
        <f t="shared" si="11"/>
        <v>5.026587131470181E-2</v>
      </c>
      <c r="AR25" s="2">
        <f t="shared" si="11"/>
        <v>0.10421224226959622</v>
      </c>
      <c r="AS25" s="2">
        <f t="shared" si="11"/>
        <v>2.6920687223936285E-2</v>
      </c>
      <c r="AT25" s="2">
        <f t="shared" si="11"/>
        <v>7.3261706497439377E-2</v>
      </c>
      <c r="AU25" s="2">
        <f t="shared" si="11"/>
        <v>0.17220949269432648</v>
      </c>
      <c r="AX25" s="2">
        <f>IF(ISERROR(AQ25*100000000/'Calc-Units'!$E$23)," ",AQ25*100000000/'Calc-Units'!$E$23)</f>
        <v>3.0047436582125931E-4</v>
      </c>
      <c r="AY25" s="2">
        <f>IF(ISERROR(AR25*100000000/'Calc-Units'!$D$23)," ",AR25*100000000/'Calc-Units'!$D$23)</f>
        <v>7.1432343147576939E-4</v>
      </c>
      <c r="AZ25" s="2">
        <f>IF(ISERROR(AS25*100000000/'Calc-Units'!$C$23)," ",AS25*100000000/'Calc-Units'!$C$23)</f>
        <v>2.365759512793958E-4</v>
      </c>
      <c r="BA25" s="2">
        <f>IF(ISERROR(AT25*100000000/'Calc-Units'!$C$23)," ",AT25*100000000/'Calc-Units'!$C$23)</f>
        <v>6.4381558177954159E-4</v>
      </c>
    </row>
    <row r="26" spans="1:53">
      <c r="C26" s="2" t="s">
        <v>589</v>
      </c>
      <c r="D26" s="2">
        <f>'RRP 1.3'!W$12</f>
        <v>5.9</v>
      </c>
      <c r="E26" s="2">
        <v>0</v>
      </c>
      <c r="F26" s="2">
        <v>0</v>
      </c>
      <c r="G26" s="2">
        <v>0</v>
      </c>
      <c r="H26" s="2">
        <v>0</v>
      </c>
      <c r="I26" s="2">
        <f t="shared" si="5"/>
        <v>5.9</v>
      </c>
      <c r="K26" s="2" t="s">
        <v>893</v>
      </c>
      <c r="L26" s="2">
        <f>IF(ISERROR(VLOOKUP($K26,'Calc-Drivers'!$B$17:$G$27,L$43,FALSE))," ",VLOOKUP($K26,'Calc-Drivers'!$B$17:$G$27,L$43,FALSE))</f>
        <v>0.11775451850610677</v>
      </c>
      <c r="M26" s="2">
        <f>IF(ISERROR(VLOOKUP($K26,'Calc-Drivers'!$B$17:$G$27,M$43,FALSE))," ",VLOOKUP($K26,'Calc-Drivers'!$B$17:$G$27,M$43,FALSE))</f>
        <v>0.24413109909245481</v>
      </c>
      <c r="N26" s="2">
        <f>IF(ISERROR(VLOOKUP($K26,'Calc-Drivers'!$B$17:$G$27,N$43,FALSE))," ",VLOOKUP($K26,'Calc-Drivers'!$B$17:$G$27,N$43,FALSE))</f>
        <v>6.3065306121152284E-2</v>
      </c>
      <c r="O26" s="2">
        <f>IF(ISERROR(VLOOKUP($K26,'Calc-Drivers'!$B$17:$G$27,O$43,FALSE))," ",VLOOKUP($K26,'Calc-Drivers'!$B$17:$G$27,O$43,FALSE))</f>
        <v>0.17162533440494615</v>
      </c>
      <c r="P26" s="2">
        <f>IF(ISERROR(VLOOKUP($K26,'Calc-Drivers'!$B$17:$G$27,P$43,FALSE))," ",VLOOKUP($K26,'Calc-Drivers'!$B$17:$G$27,P$43,FALSE))</f>
        <v>0.40342374187534008</v>
      </c>
      <c r="S26" s="2">
        <f t="shared" si="6"/>
        <v>0.69475165918602999</v>
      </c>
      <c r="T26" s="2">
        <f t="shared" si="6"/>
        <v>1.4403734846454834</v>
      </c>
      <c r="U26" s="2">
        <f t="shared" si="6"/>
        <v>0.37208530611479851</v>
      </c>
      <c r="V26" s="2">
        <f t="shared" si="6"/>
        <v>1.0125894729891824</v>
      </c>
      <c r="W26" s="2">
        <f t="shared" si="6"/>
        <v>2.3802000770645066</v>
      </c>
      <c r="Z26" s="2">
        <f t="shared" si="7"/>
        <v>0.69475165918602999</v>
      </c>
      <c r="AA26" s="2">
        <f t="shared" si="7"/>
        <v>1.4403734846454834</v>
      </c>
      <c r="AB26" s="2">
        <f t="shared" si="7"/>
        <v>0.37208530611479851</v>
      </c>
      <c r="AC26" s="2">
        <f t="shared" si="8"/>
        <v>1.0125894729891824</v>
      </c>
      <c r="AD26" s="2">
        <f t="shared" si="8"/>
        <v>2.3802000770645066</v>
      </c>
      <c r="AG26" s="2">
        <f>IF(ISERROR(Z26*100000000/'Calc-Units'!$E$23)," ",Z26*100000000/'Calc-Units'!$E$23)</f>
        <v>4.1530179172709018E-3</v>
      </c>
      <c r="AH26" s="2">
        <f>IF(ISERROR(AA26*100000000/'Calc-Units'!$D$23)," ",AA26*100000000/'Calc-Units'!$D$23)</f>
        <v>9.8730485761637943E-3</v>
      </c>
      <c r="AI26" s="2">
        <f>IF(ISERROR(AB26*100000000/'Calc-Units'!$C$23)," ",AB26*100000000/'Calc-Units'!$C$23)</f>
        <v>3.2698435414726607E-3</v>
      </c>
      <c r="AJ26" s="2">
        <f>IF(ISERROR(AC26*100000000/'Calc-Units'!$C$23)," ",AC26*100000000/'Calc-Units'!$C$23)</f>
        <v>8.8985216400761253E-3</v>
      </c>
      <c r="AL26" s="2">
        <v>0.52569999999999995</v>
      </c>
      <c r="AM26" s="2">
        <f t="shared" si="9"/>
        <v>3.1016299999999997</v>
      </c>
      <c r="AN26" s="2">
        <f t="shared" si="10"/>
        <v>2.7983700000000007</v>
      </c>
      <c r="AQ26" s="2">
        <f t="shared" si="11"/>
        <v>0.32952071195193405</v>
      </c>
      <c r="AR26" s="2">
        <f t="shared" si="11"/>
        <v>0.68316914376735283</v>
      </c>
      <c r="AS26" s="2">
        <f t="shared" si="11"/>
        <v>0.17648006069024896</v>
      </c>
      <c r="AT26" s="2">
        <f t="shared" si="11"/>
        <v>0.48027118703876931</v>
      </c>
      <c r="AU26" s="2">
        <f t="shared" si="11"/>
        <v>1.1289288965516957</v>
      </c>
      <c r="AX26" s="2">
        <f>IF(ISERROR(AQ26*100000000/'Calc-Units'!$E$23)," ",AQ26*100000000/'Calc-Units'!$E$23)</f>
        <v>1.9697763981615887E-3</v>
      </c>
      <c r="AY26" s="2">
        <f>IF(ISERROR(AR26*100000000/'Calc-Units'!$D$23)," ",AR26*100000000/'Calc-Units'!$D$23)</f>
        <v>4.6827869396744879E-3</v>
      </c>
      <c r="AZ26" s="2">
        <f>IF(ISERROR(AS26*100000000/'Calc-Units'!$C$23)," ",AS26*100000000/'Calc-Units'!$C$23)</f>
        <v>1.5508867917204835E-3</v>
      </c>
      <c r="BA26" s="2">
        <f>IF(ISERROR(AT26*100000000/'Calc-Units'!$C$23)," ",AT26*100000000/'Calc-Units'!$C$23)</f>
        <v>4.2205688138881063E-3</v>
      </c>
    </row>
    <row r="27" spans="1:53">
      <c r="C27" s="2" t="s">
        <v>590</v>
      </c>
      <c r="D27" s="2">
        <f>'RRP 1.3'!X$12</f>
        <v>1.7000000000000002</v>
      </c>
      <c r="E27" s="2">
        <v>0</v>
      </c>
      <c r="F27" s="2">
        <v>0</v>
      </c>
      <c r="G27" s="2">
        <v>0</v>
      </c>
      <c r="H27" s="2">
        <v>0</v>
      </c>
      <c r="I27" s="2">
        <f t="shared" si="5"/>
        <v>1.7000000000000002</v>
      </c>
      <c r="K27" s="2" t="s">
        <v>893</v>
      </c>
      <c r="L27" s="2">
        <f>IF(ISERROR(VLOOKUP($K27,'Calc-Drivers'!$B$17:$G$27,L$43,FALSE))," ",VLOOKUP($K27,'Calc-Drivers'!$B$17:$G$27,L$43,FALSE))</f>
        <v>0.11775451850610677</v>
      </c>
      <c r="M27" s="2">
        <f>IF(ISERROR(VLOOKUP($K27,'Calc-Drivers'!$B$17:$G$27,M$43,FALSE))," ",VLOOKUP($K27,'Calc-Drivers'!$B$17:$G$27,M$43,FALSE))</f>
        <v>0.24413109909245481</v>
      </c>
      <c r="N27" s="2">
        <f>IF(ISERROR(VLOOKUP($K27,'Calc-Drivers'!$B$17:$G$27,N$43,FALSE))," ",VLOOKUP($K27,'Calc-Drivers'!$B$17:$G$27,N$43,FALSE))</f>
        <v>6.3065306121152284E-2</v>
      </c>
      <c r="O27" s="2">
        <f>IF(ISERROR(VLOOKUP($K27,'Calc-Drivers'!$B$17:$G$27,O$43,FALSE))," ",VLOOKUP($K27,'Calc-Drivers'!$B$17:$G$27,O$43,FALSE))</f>
        <v>0.17162533440494615</v>
      </c>
      <c r="P27" s="2">
        <f>IF(ISERROR(VLOOKUP($K27,'Calc-Drivers'!$B$17:$G$27,P$43,FALSE))," ",VLOOKUP($K27,'Calc-Drivers'!$B$17:$G$27,P$43,FALSE))</f>
        <v>0.40342374187534008</v>
      </c>
      <c r="S27" s="2">
        <f t="shared" si="6"/>
        <v>0.20018268146038154</v>
      </c>
      <c r="T27" s="2">
        <f t="shared" si="6"/>
        <v>0.41502286845717323</v>
      </c>
      <c r="U27" s="2">
        <f t="shared" si="6"/>
        <v>0.1072110204059589</v>
      </c>
      <c r="V27" s="2">
        <f t="shared" si="6"/>
        <v>0.29176306848840849</v>
      </c>
      <c r="W27" s="2">
        <f t="shared" si="6"/>
        <v>0.68582036118807821</v>
      </c>
      <c r="Z27" s="2">
        <f t="shared" si="7"/>
        <v>0.20018268146038154</v>
      </c>
      <c r="AA27" s="2">
        <f t="shared" si="7"/>
        <v>0.41502286845717323</v>
      </c>
      <c r="AB27" s="2">
        <f t="shared" si="7"/>
        <v>0.1072110204059589</v>
      </c>
      <c r="AC27" s="2">
        <f t="shared" si="8"/>
        <v>0.29176306848840849</v>
      </c>
      <c r="AD27" s="2">
        <f t="shared" si="8"/>
        <v>0.68582036118807821</v>
      </c>
      <c r="AG27" s="2">
        <f>IF(ISERROR(Z27*100000000/'Calc-Units'!$E$23)," ",Z27*100000000/'Calc-Units'!$E$23)</f>
        <v>1.1966322812475478E-3</v>
      </c>
      <c r="AH27" s="2">
        <f>IF(ISERROR(AA27*100000000/'Calc-Units'!$D$23)," ",AA27*100000000/'Calc-Units'!$D$23)</f>
        <v>2.8447767083861781E-3</v>
      </c>
      <c r="AI27" s="2">
        <f>IF(ISERROR(AB27*100000000/'Calc-Units'!$C$23)," ",AB27*100000000/'Calc-Units'!$C$23)</f>
        <v>9.4215830855991927E-4</v>
      </c>
      <c r="AJ27" s="2">
        <f>IF(ISERROR(AC27*100000000/'Calc-Units'!$C$23)," ",AC27*100000000/'Calc-Units'!$C$23)</f>
        <v>2.5639808115473575E-3</v>
      </c>
      <c r="AL27" s="2">
        <v>0.52569999999999995</v>
      </c>
      <c r="AM27" s="2">
        <f t="shared" si="9"/>
        <v>0.89368999999999998</v>
      </c>
      <c r="AN27" s="2">
        <f t="shared" si="10"/>
        <v>0.80631000000000019</v>
      </c>
      <c r="AQ27" s="2">
        <f t="shared" si="11"/>
        <v>9.4946645816658973E-2</v>
      </c>
      <c r="AR27" s="2">
        <f t="shared" si="11"/>
        <v>0.1968453465092373</v>
      </c>
      <c r="AS27" s="2">
        <f t="shared" si="11"/>
        <v>5.0850186978546312E-2</v>
      </c>
      <c r="AT27" s="2">
        <f t="shared" si="11"/>
        <v>0.13838322338405218</v>
      </c>
      <c r="AU27" s="2">
        <f t="shared" si="11"/>
        <v>0.32528459731150555</v>
      </c>
      <c r="AX27" s="2">
        <f>IF(ISERROR(AQ27*100000000/'Calc-Units'!$E$23)," ",AQ27*100000000/'Calc-Units'!$E$23)</f>
        <v>5.6756269099571212E-4</v>
      </c>
      <c r="AY27" s="2">
        <f>IF(ISERROR(AR27*100000000/'Calc-Units'!$D$23)," ",AR27*100000000/'Calc-Units'!$D$23)</f>
        <v>1.3492775927875643E-3</v>
      </c>
      <c r="AZ27" s="2">
        <f>IF(ISERROR(AS27*100000000/'Calc-Units'!$C$23)," ",AS27*100000000/'Calc-Units'!$C$23)</f>
        <v>4.4686568574996984E-4</v>
      </c>
      <c r="BA27" s="2">
        <f>IF(ISERROR(AT27*100000000/'Calc-Units'!$C$23)," ",AT27*100000000/'Calc-Units'!$C$23)</f>
        <v>1.216096098916912E-3</v>
      </c>
    </row>
    <row r="28" spans="1:53" ht="12.75" customHeight="1">
      <c r="A28" s="2" t="s">
        <v>896</v>
      </c>
      <c r="C28" s="2" t="s">
        <v>554</v>
      </c>
      <c r="D28" s="2">
        <f>'RRP 1.3'!Y$12</f>
        <v>4.1000000000000005</v>
      </c>
      <c r="E28" s="2">
        <v>0</v>
      </c>
      <c r="F28" s="2">
        <v>0</v>
      </c>
      <c r="G28" s="2">
        <v>0</v>
      </c>
      <c r="H28" s="2">
        <v>0</v>
      </c>
      <c r="I28" s="2">
        <f t="shared" si="5"/>
        <v>4.1000000000000005</v>
      </c>
      <c r="K28" s="2" t="s">
        <v>895</v>
      </c>
      <c r="L28" s="2" t="str">
        <f>IF(ISERROR(VLOOKUP($K28,'Calc-Drivers'!$B$17:$G$27,L$43,FALSE))," ",VLOOKUP($K28,'Calc-Drivers'!$B$17:$G$27,L$43,FALSE))</f>
        <v xml:space="preserve"> </v>
      </c>
      <c r="M28" s="2" t="str">
        <f>IF(ISERROR(VLOOKUP($K28,'Calc-Drivers'!$B$17:$G$27,M$43,FALSE))," ",VLOOKUP($K28,'Calc-Drivers'!$B$17:$G$27,M$43,FALSE))</f>
        <v xml:space="preserve"> </v>
      </c>
      <c r="N28" s="2" t="str">
        <f>IF(ISERROR(VLOOKUP($K28,'Calc-Drivers'!$B$17:$G$27,N$43,FALSE))," ",VLOOKUP($K28,'Calc-Drivers'!$B$17:$G$27,N$43,FALSE))</f>
        <v xml:space="preserve"> </v>
      </c>
      <c r="O28" s="2" t="str">
        <f>IF(ISERROR(VLOOKUP($K28,'Calc-Drivers'!$B$17:$G$27,O$43,FALSE))," ",VLOOKUP($K28,'Calc-Drivers'!$B$17:$G$27,O$43,FALSE))</f>
        <v xml:space="preserve"> </v>
      </c>
      <c r="P28" s="2" t="str">
        <f>IF(ISERROR(VLOOKUP($K28,'Calc-Drivers'!$B$17:$G$27,P$43,FALSE))," ",VLOOKUP($K28,'Calc-Drivers'!$B$17:$G$27,P$43,FALSE))</f>
        <v xml:space="preserve"> </v>
      </c>
      <c r="S28" s="2" t="str">
        <f t="shared" si="6"/>
        <v xml:space="preserve"> </v>
      </c>
      <c r="T28" s="2" t="str">
        <f t="shared" si="6"/>
        <v xml:space="preserve"> </v>
      </c>
      <c r="U28" s="2" t="str">
        <f t="shared" si="6"/>
        <v xml:space="preserve"> </v>
      </c>
      <c r="V28" s="2" t="str">
        <f t="shared" si="6"/>
        <v xml:space="preserve"> </v>
      </c>
      <c r="W28" s="2" t="str">
        <f t="shared" si="6"/>
        <v xml:space="preserve"> </v>
      </c>
      <c r="Z28" s="2" t="str">
        <f t="shared" si="7"/>
        <v xml:space="preserve"> </v>
      </c>
      <c r="AA28" s="2" t="str">
        <f t="shared" si="7"/>
        <v xml:space="preserve"> </v>
      </c>
      <c r="AB28" s="2" t="str">
        <f t="shared" si="7"/>
        <v xml:space="preserve"> </v>
      </c>
      <c r="AC28" s="2" t="str">
        <f t="shared" si="8"/>
        <v xml:space="preserve"> </v>
      </c>
      <c r="AD28" s="2" t="str">
        <f t="shared" si="8"/>
        <v xml:space="preserve"> </v>
      </c>
      <c r="AG28" s="2" t="str">
        <f>IF(ISERROR(Z28*100000000/'Calc-Units'!$E$23)," ",Z28*100000000/'Calc-Units'!$E$23)</f>
        <v xml:space="preserve"> </v>
      </c>
      <c r="AH28" s="2" t="str">
        <f>IF(ISERROR(AA28*100000000/'Calc-Units'!$D$23)," ",AA28*100000000/'Calc-Units'!$D$23)</f>
        <v xml:space="preserve"> </v>
      </c>
      <c r="AI28" s="2" t="str">
        <f>IF(ISERROR(AB28*100000000/'Calc-Units'!$C$23)," ",AB28*100000000/'Calc-Units'!$C$23)</f>
        <v xml:space="preserve"> </v>
      </c>
      <c r="AJ28" s="2" t="str">
        <f>IF(ISERROR(AC28*100000000/'Calc-Units'!$C$23)," ",AC28*100000000/'Calc-Units'!$C$23)</f>
        <v xml:space="preserve"> </v>
      </c>
      <c r="AL28" s="2">
        <v>0</v>
      </c>
      <c r="AM28" s="2">
        <f t="shared" si="9"/>
        <v>0</v>
      </c>
      <c r="AN28" s="2">
        <f t="shared" si="10"/>
        <v>4.1000000000000005</v>
      </c>
      <c r="AQ28" s="2" t="str">
        <f t="shared" si="11"/>
        <v xml:space="preserve"> </v>
      </c>
      <c r="AR28" s="2" t="str">
        <f t="shared" si="11"/>
        <v xml:space="preserve"> </v>
      </c>
      <c r="AS28" s="2" t="str">
        <f t="shared" si="11"/>
        <v xml:space="preserve"> </v>
      </c>
      <c r="AT28" s="2" t="str">
        <f t="shared" si="11"/>
        <v xml:space="preserve"> </v>
      </c>
      <c r="AU28" s="2" t="str">
        <f t="shared" si="11"/>
        <v xml:space="preserve"> </v>
      </c>
      <c r="AX28" s="2" t="str">
        <f>IF(ISERROR(AQ28*100000000/'Calc-Units'!$E$23)," ",AQ28*100000000/'Calc-Units'!$E$23)</f>
        <v xml:space="preserve"> </v>
      </c>
      <c r="AY28" s="2" t="str">
        <f>IF(ISERROR(AR28*100000000/'Calc-Units'!$D$23)," ",AR28*100000000/'Calc-Units'!$D$23)</f>
        <v xml:space="preserve"> </v>
      </c>
      <c r="AZ28" s="2" t="str">
        <f>IF(ISERROR(AS28*100000000/'Calc-Units'!$C$23)," ",AS28*100000000/'Calc-Units'!$C$23)</f>
        <v xml:space="preserve"> </v>
      </c>
      <c r="BA28" s="2" t="str">
        <f>IF(ISERROR(AT28*100000000/'Calc-Units'!$C$23)," ",AT28*100000000/'Calc-Units'!$C$23)</f>
        <v xml:space="preserve"> </v>
      </c>
    </row>
    <row r="29" spans="1:53">
      <c r="C29" s="2" t="s">
        <v>555</v>
      </c>
      <c r="D29" s="2">
        <f>'RRP 1.3'!Z$12</f>
        <v>22.099999999999998</v>
      </c>
      <c r="E29" s="2">
        <v>0</v>
      </c>
      <c r="F29" s="2">
        <v>0</v>
      </c>
      <c r="G29" s="2">
        <v>0</v>
      </c>
      <c r="H29" s="2">
        <v>0</v>
      </c>
      <c r="I29" s="2">
        <f t="shared" si="5"/>
        <v>22.099999999999998</v>
      </c>
      <c r="K29" s="2" t="s">
        <v>895</v>
      </c>
      <c r="L29" s="2" t="str">
        <f>IF(ISERROR(VLOOKUP($K29,'Calc-Drivers'!$B$17:$G$27,L$43,FALSE))," ",VLOOKUP($K29,'Calc-Drivers'!$B$17:$G$27,L$43,FALSE))</f>
        <v xml:space="preserve"> </v>
      </c>
      <c r="M29" s="2" t="str">
        <f>IF(ISERROR(VLOOKUP($K29,'Calc-Drivers'!$B$17:$G$27,M$43,FALSE))," ",VLOOKUP($K29,'Calc-Drivers'!$B$17:$G$27,M$43,FALSE))</f>
        <v xml:space="preserve"> </v>
      </c>
      <c r="N29" s="2" t="str">
        <f>IF(ISERROR(VLOOKUP($K29,'Calc-Drivers'!$B$17:$G$27,N$43,FALSE))," ",VLOOKUP($K29,'Calc-Drivers'!$B$17:$G$27,N$43,FALSE))</f>
        <v xml:space="preserve"> </v>
      </c>
      <c r="O29" s="2" t="str">
        <f>IF(ISERROR(VLOOKUP($K29,'Calc-Drivers'!$B$17:$G$27,O$43,FALSE))," ",VLOOKUP($K29,'Calc-Drivers'!$B$17:$G$27,O$43,FALSE))</f>
        <v xml:space="preserve"> </v>
      </c>
      <c r="P29" s="2" t="str">
        <f>IF(ISERROR(VLOOKUP($K29,'Calc-Drivers'!$B$17:$G$27,P$43,FALSE))," ",VLOOKUP($K29,'Calc-Drivers'!$B$17:$G$27,P$43,FALSE))</f>
        <v xml:space="preserve"> </v>
      </c>
      <c r="S29" s="2" t="str">
        <f t="shared" si="6"/>
        <v xml:space="preserve"> </v>
      </c>
      <c r="T29" s="2" t="str">
        <f t="shared" si="6"/>
        <v xml:space="preserve"> </v>
      </c>
      <c r="U29" s="2" t="str">
        <f t="shared" si="6"/>
        <v xml:space="preserve"> </v>
      </c>
      <c r="V29" s="2" t="str">
        <f t="shared" si="6"/>
        <v xml:space="preserve"> </v>
      </c>
      <c r="W29" s="2" t="str">
        <f t="shared" si="6"/>
        <v xml:space="preserve"> </v>
      </c>
      <c r="Z29" s="2" t="str">
        <f t="shared" si="7"/>
        <v xml:space="preserve"> </v>
      </c>
      <c r="AA29" s="2" t="str">
        <f t="shared" si="7"/>
        <v xml:space="preserve"> </v>
      </c>
      <c r="AB29" s="2" t="str">
        <f t="shared" si="7"/>
        <v xml:space="preserve"> </v>
      </c>
      <c r="AC29" s="2" t="str">
        <f t="shared" si="8"/>
        <v xml:space="preserve"> </v>
      </c>
      <c r="AD29" s="2" t="str">
        <f t="shared" si="8"/>
        <v xml:space="preserve"> </v>
      </c>
      <c r="AG29" s="2" t="str">
        <f>IF(ISERROR(Z29*100000000/'Calc-Units'!$E$23)," ",Z29*100000000/'Calc-Units'!$E$23)</f>
        <v xml:space="preserve"> </v>
      </c>
      <c r="AH29" s="2" t="str">
        <f>IF(ISERROR(AA29*100000000/'Calc-Units'!$D$23)," ",AA29*100000000/'Calc-Units'!$D$23)</f>
        <v xml:space="preserve"> </v>
      </c>
      <c r="AI29" s="2" t="str">
        <f>IF(ISERROR(AB29*100000000/'Calc-Units'!$C$23)," ",AB29*100000000/'Calc-Units'!$C$23)</f>
        <v xml:space="preserve"> </v>
      </c>
      <c r="AJ29" s="2" t="str">
        <f>IF(ISERROR(AC29*100000000/'Calc-Units'!$C$23)," ",AC29*100000000/'Calc-Units'!$C$23)</f>
        <v xml:space="preserve"> </v>
      </c>
      <c r="AL29" s="2">
        <v>0.57699999999999996</v>
      </c>
      <c r="AM29" s="2">
        <f t="shared" si="9"/>
        <v>12.751699999999998</v>
      </c>
      <c r="AN29" s="2">
        <f t="shared" si="10"/>
        <v>9.3483000000000001</v>
      </c>
      <c r="AQ29" s="2" t="str">
        <f t="shared" si="11"/>
        <v xml:space="preserve"> </v>
      </c>
      <c r="AR29" s="2" t="str">
        <f t="shared" si="11"/>
        <v xml:space="preserve"> </v>
      </c>
      <c r="AS29" s="2" t="str">
        <f t="shared" si="11"/>
        <v xml:space="preserve"> </v>
      </c>
      <c r="AT29" s="2" t="str">
        <f t="shared" si="11"/>
        <v xml:space="preserve"> </v>
      </c>
      <c r="AU29" s="2" t="str">
        <f t="shared" si="11"/>
        <v xml:space="preserve"> </v>
      </c>
      <c r="AX29" s="2" t="str">
        <f>IF(ISERROR(AQ29*100000000/'Calc-Units'!$E$23)," ",AQ29*100000000/'Calc-Units'!$E$23)</f>
        <v xml:space="preserve"> </v>
      </c>
      <c r="AY29" s="2" t="str">
        <f>IF(ISERROR(AR29*100000000/'Calc-Units'!$D$23)," ",AR29*100000000/'Calc-Units'!$D$23)</f>
        <v xml:space="preserve"> </v>
      </c>
      <c r="AZ29" s="2" t="str">
        <f>IF(ISERROR(AS29*100000000/'Calc-Units'!$C$23)," ",AS29*100000000/'Calc-Units'!$C$23)</f>
        <v xml:space="preserve"> </v>
      </c>
      <c r="BA29" s="2" t="str">
        <f>IF(ISERROR(AT29*100000000/'Calc-Units'!$C$23)," ",AT29*100000000/'Calc-Units'!$C$23)</f>
        <v xml:space="preserve"> </v>
      </c>
    </row>
    <row r="30" spans="1:53">
      <c r="C30" s="2" t="s">
        <v>556</v>
      </c>
      <c r="D30" s="2">
        <f>'RRP 1.3'!AA$12</f>
        <v>2.4</v>
      </c>
      <c r="E30" s="2">
        <v>0</v>
      </c>
      <c r="F30" s="2">
        <v>0</v>
      </c>
      <c r="G30" s="2">
        <v>0</v>
      </c>
      <c r="H30" s="2">
        <v>0</v>
      </c>
      <c r="I30" s="2">
        <f t="shared" si="5"/>
        <v>2.4</v>
      </c>
      <c r="K30" s="2" t="s">
        <v>895</v>
      </c>
      <c r="L30" s="2" t="str">
        <f>IF(ISERROR(VLOOKUP($K30,'Calc-Drivers'!$B$17:$G$27,L$43,FALSE))," ",VLOOKUP($K30,'Calc-Drivers'!$B$17:$G$27,L$43,FALSE))</f>
        <v xml:space="preserve"> </v>
      </c>
      <c r="M30" s="2" t="str">
        <f>IF(ISERROR(VLOOKUP($K30,'Calc-Drivers'!$B$17:$G$27,M$43,FALSE))," ",VLOOKUP($K30,'Calc-Drivers'!$B$17:$G$27,M$43,FALSE))</f>
        <v xml:space="preserve"> </v>
      </c>
      <c r="N30" s="2" t="str">
        <f>IF(ISERROR(VLOOKUP($K30,'Calc-Drivers'!$B$17:$G$27,N$43,FALSE))," ",VLOOKUP($K30,'Calc-Drivers'!$B$17:$G$27,N$43,FALSE))</f>
        <v xml:space="preserve"> </v>
      </c>
      <c r="O30" s="2" t="str">
        <f>IF(ISERROR(VLOOKUP($K30,'Calc-Drivers'!$B$17:$G$27,O$43,FALSE))," ",VLOOKUP($K30,'Calc-Drivers'!$B$17:$G$27,O$43,FALSE))</f>
        <v xml:space="preserve"> </v>
      </c>
      <c r="P30" s="2" t="str">
        <f>IF(ISERROR(VLOOKUP($K30,'Calc-Drivers'!$B$17:$G$27,P$43,FALSE))," ",VLOOKUP($K30,'Calc-Drivers'!$B$17:$G$27,P$43,FALSE))</f>
        <v xml:space="preserve"> </v>
      </c>
      <c r="S30" s="2" t="str">
        <f t="shared" si="6"/>
        <v xml:space="preserve"> </v>
      </c>
      <c r="T30" s="2" t="str">
        <f t="shared" si="6"/>
        <v xml:space="preserve"> </v>
      </c>
      <c r="U30" s="2" t="str">
        <f t="shared" si="6"/>
        <v xml:space="preserve"> </v>
      </c>
      <c r="V30" s="2" t="str">
        <f t="shared" si="6"/>
        <v xml:space="preserve"> </v>
      </c>
      <c r="W30" s="2" t="str">
        <f t="shared" si="6"/>
        <v xml:space="preserve"> </v>
      </c>
      <c r="Z30" s="2" t="str">
        <f t="shared" si="7"/>
        <v xml:space="preserve"> </v>
      </c>
      <c r="AA30" s="2" t="str">
        <f t="shared" si="7"/>
        <v xml:space="preserve"> </v>
      </c>
      <c r="AB30" s="2" t="str">
        <f t="shared" si="7"/>
        <v xml:space="preserve"> </v>
      </c>
      <c r="AC30" s="2" t="str">
        <f t="shared" si="8"/>
        <v xml:space="preserve"> </v>
      </c>
      <c r="AD30" s="2" t="str">
        <f t="shared" si="8"/>
        <v xml:space="preserve"> </v>
      </c>
      <c r="AG30" s="2" t="str">
        <f>IF(ISERROR(Z30*100000000/'Calc-Units'!$E$23)," ",Z30*100000000/'Calc-Units'!$E$23)</f>
        <v xml:space="preserve"> </v>
      </c>
      <c r="AH30" s="2" t="str">
        <f>IF(ISERROR(AA30*100000000/'Calc-Units'!$D$23)," ",AA30*100000000/'Calc-Units'!$D$23)</f>
        <v xml:space="preserve"> </v>
      </c>
      <c r="AI30" s="2" t="str">
        <f>IF(ISERROR(AB30*100000000/'Calc-Units'!$C$23)," ",AB30*100000000/'Calc-Units'!$C$23)</f>
        <v xml:space="preserve"> </v>
      </c>
      <c r="AJ30" s="2" t="str">
        <f>IF(ISERROR(AC30*100000000/'Calc-Units'!$C$23)," ",AC30*100000000/'Calc-Units'!$C$23)</f>
        <v xml:space="preserve"> </v>
      </c>
      <c r="AL30" s="2">
        <v>0</v>
      </c>
      <c r="AM30" s="2">
        <f t="shared" si="9"/>
        <v>0</v>
      </c>
      <c r="AN30" s="2">
        <f t="shared" si="10"/>
        <v>2.4</v>
      </c>
      <c r="AQ30" s="2" t="str">
        <f t="shared" si="11"/>
        <v xml:space="preserve"> </v>
      </c>
      <c r="AR30" s="2" t="str">
        <f t="shared" si="11"/>
        <v xml:space="preserve"> </v>
      </c>
      <c r="AS30" s="2" t="str">
        <f t="shared" si="11"/>
        <v xml:space="preserve"> </v>
      </c>
      <c r="AT30" s="2" t="str">
        <f t="shared" si="11"/>
        <v xml:space="preserve"> </v>
      </c>
      <c r="AU30" s="2" t="str">
        <f t="shared" si="11"/>
        <v xml:space="preserve"> </v>
      </c>
      <c r="AX30" s="2" t="str">
        <f>IF(ISERROR(AQ30*100000000/'Calc-Units'!$E$23)," ",AQ30*100000000/'Calc-Units'!$E$23)</f>
        <v xml:space="preserve"> </v>
      </c>
      <c r="AY30" s="2" t="str">
        <f>IF(ISERROR(AR30*100000000/'Calc-Units'!$D$23)," ",AR30*100000000/'Calc-Units'!$D$23)</f>
        <v xml:space="preserve"> </v>
      </c>
      <c r="AZ30" s="2" t="str">
        <f>IF(ISERROR(AS30*100000000/'Calc-Units'!$C$23)," ",AS30*100000000/'Calc-Units'!$C$23)</f>
        <v xml:space="preserve"> </v>
      </c>
      <c r="BA30" s="2" t="str">
        <f>IF(ISERROR(AT30*100000000/'Calc-Units'!$C$23)," ",AT30*100000000/'Calc-Units'!$C$23)</f>
        <v xml:space="preserve"> </v>
      </c>
    </row>
    <row r="31" spans="1:53">
      <c r="C31" s="2" t="s">
        <v>557</v>
      </c>
      <c r="D31" s="2">
        <f>'RRP 1.3'!AB$12</f>
        <v>13.4</v>
      </c>
      <c r="E31" s="2">
        <v>0</v>
      </c>
      <c r="F31" s="2">
        <v>0</v>
      </c>
      <c r="G31" s="2">
        <v>0</v>
      </c>
      <c r="H31" s="2">
        <v>0</v>
      </c>
      <c r="I31" s="2">
        <f t="shared" si="5"/>
        <v>13.4</v>
      </c>
      <c r="K31" s="2" t="s">
        <v>895</v>
      </c>
      <c r="L31" s="2" t="str">
        <f>IF(ISERROR(VLOOKUP($K31,'Calc-Drivers'!$B$17:$G$27,L$43,FALSE))," ",VLOOKUP($K31,'Calc-Drivers'!$B$17:$G$27,L$43,FALSE))</f>
        <v xml:space="preserve"> </v>
      </c>
      <c r="M31" s="2" t="str">
        <f>IF(ISERROR(VLOOKUP($K31,'Calc-Drivers'!$B$17:$G$27,M$43,FALSE))," ",VLOOKUP($K31,'Calc-Drivers'!$B$17:$G$27,M$43,FALSE))</f>
        <v xml:space="preserve"> </v>
      </c>
      <c r="N31" s="2" t="str">
        <f>IF(ISERROR(VLOOKUP($K31,'Calc-Drivers'!$B$17:$G$27,N$43,FALSE))," ",VLOOKUP($K31,'Calc-Drivers'!$B$17:$G$27,N$43,FALSE))</f>
        <v xml:space="preserve"> </v>
      </c>
      <c r="O31" s="2" t="str">
        <f>IF(ISERROR(VLOOKUP($K31,'Calc-Drivers'!$B$17:$G$27,O$43,FALSE))," ",VLOOKUP($K31,'Calc-Drivers'!$B$17:$G$27,O$43,FALSE))</f>
        <v xml:space="preserve"> </v>
      </c>
      <c r="P31" s="2" t="str">
        <f>IF(ISERROR(VLOOKUP($K31,'Calc-Drivers'!$B$17:$G$27,P$43,FALSE))," ",VLOOKUP($K31,'Calc-Drivers'!$B$17:$G$27,P$43,FALSE))</f>
        <v xml:space="preserve"> </v>
      </c>
      <c r="S31" s="2" t="str">
        <f t="shared" si="6"/>
        <v xml:space="preserve"> </v>
      </c>
      <c r="T31" s="2" t="str">
        <f t="shared" si="6"/>
        <v xml:space="preserve"> </v>
      </c>
      <c r="U31" s="2" t="str">
        <f t="shared" si="6"/>
        <v xml:space="preserve"> </v>
      </c>
      <c r="V31" s="2" t="str">
        <f t="shared" si="6"/>
        <v xml:space="preserve"> </v>
      </c>
      <c r="W31" s="2" t="str">
        <f t="shared" si="6"/>
        <v xml:space="preserve"> </v>
      </c>
      <c r="Z31" s="2" t="str">
        <f t="shared" si="7"/>
        <v xml:space="preserve"> </v>
      </c>
      <c r="AA31" s="2" t="str">
        <f t="shared" si="7"/>
        <v xml:space="preserve"> </v>
      </c>
      <c r="AB31" s="2" t="str">
        <f t="shared" si="7"/>
        <v xml:space="preserve"> </v>
      </c>
      <c r="AC31" s="2" t="str">
        <f t="shared" si="8"/>
        <v xml:space="preserve"> </v>
      </c>
      <c r="AD31" s="2" t="str">
        <f t="shared" si="8"/>
        <v xml:space="preserve"> </v>
      </c>
      <c r="AG31" s="2" t="str">
        <f>IF(ISERROR(Z31*100000000/'Calc-Units'!$E$23)," ",Z31*100000000/'Calc-Units'!$E$23)</f>
        <v xml:space="preserve"> </v>
      </c>
      <c r="AH31" s="2" t="str">
        <f>IF(ISERROR(AA31*100000000/'Calc-Units'!$D$23)," ",AA31*100000000/'Calc-Units'!$D$23)</f>
        <v xml:space="preserve"> </v>
      </c>
      <c r="AI31" s="2" t="str">
        <f>IF(ISERROR(AB31*100000000/'Calc-Units'!$C$23)," ",AB31*100000000/'Calc-Units'!$C$23)</f>
        <v xml:space="preserve"> </v>
      </c>
      <c r="AJ31" s="2" t="str">
        <f>IF(ISERROR(AC31*100000000/'Calc-Units'!$C$23)," ",AC31*100000000/'Calc-Units'!$C$23)</f>
        <v xml:space="preserve"> </v>
      </c>
      <c r="AL31" s="2">
        <v>0</v>
      </c>
      <c r="AM31" s="2">
        <f t="shared" si="9"/>
        <v>0</v>
      </c>
      <c r="AN31" s="2">
        <f t="shared" si="10"/>
        <v>13.4</v>
      </c>
      <c r="AQ31" s="2" t="str">
        <f t="shared" si="11"/>
        <v xml:space="preserve"> </v>
      </c>
      <c r="AR31" s="2" t="str">
        <f t="shared" si="11"/>
        <v xml:space="preserve"> </v>
      </c>
      <c r="AS31" s="2" t="str">
        <f t="shared" si="11"/>
        <v xml:space="preserve"> </v>
      </c>
      <c r="AT31" s="2" t="str">
        <f t="shared" si="11"/>
        <v xml:space="preserve"> </v>
      </c>
      <c r="AU31" s="2" t="str">
        <f t="shared" si="11"/>
        <v xml:space="preserve"> </v>
      </c>
      <c r="AX31" s="2" t="str">
        <f>IF(ISERROR(AQ31*100000000/'Calc-Units'!$E$23)," ",AQ31*100000000/'Calc-Units'!$E$23)</f>
        <v xml:space="preserve"> </v>
      </c>
      <c r="AY31" s="2" t="str">
        <f>IF(ISERROR(AR31*100000000/'Calc-Units'!$D$23)," ",AR31*100000000/'Calc-Units'!$D$23)</f>
        <v xml:space="preserve"> </v>
      </c>
      <c r="AZ31" s="2" t="str">
        <f>IF(ISERROR(AS31*100000000/'Calc-Units'!$C$23)," ",AS31*100000000/'Calc-Units'!$C$23)</f>
        <v xml:space="preserve"> </v>
      </c>
      <c r="BA31" s="2" t="str">
        <f>IF(ISERROR(AT31*100000000/'Calc-Units'!$C$23)," ",AT31*100000000/'Calc-Units'!$C$23)</f>
        <v xml:space="preserve"> </v>
      </c>
    </row>
    <row r="32" spans="1:53">
      <c r="C32" s="2" t="s">
        <v>558</v>
      </c>
      <c r="D32" s="2">
        <f>'RRP 1.3'!AC$12</f>
        <v>0.49999999999999889</v>
      </c>
      <c r="E32" s="2">
        <v>0</v>
      </c>
      <c r="F32" s="2">
        <v>0</v>
      </c>
      <c r="G32" s="2">
        <v>0</v>
      </c>
      <c r="H32" s="2">
        <v>0</v>
      </c>
      <c r="I32" s="2">
        <f t="shared" si="5"/>
        <v>0.49999999999999889</v>
      </c>
      <c r="K32" s="2" t="s">
        <v>895</v>
      </c>
      <c r="L32" s="2" t="str">
        <f>IF(ISERROR(VLOOKUP($K32,'Calc-Drivers'!$B$17:$G$27,L$43,FALSE))," ",VLOOKUP($K32,'Calc-Drivers'!$B$17:$G$27,L$43,FALSE))</f>
        <v xml:space="preserve"> </v>
      </c>
      <c r="M32" s="2" t="str">
        <f>IF(ISERROR(VLOOKUP($K32,'Calc-Drivers'!$B$17:$G$27,M$43,FALSE))," ",VLOOKUP($K32,'Calc-Drivers'!$B$17:$G$27,M$43,FALSE))</f>
        <v xml:space="preserve"> </v>
      </c>
      <c r="N32" s="2" t="str">
        <f>IF(ISERROR(VLOOKUP($K32,'Calc-Drivers'!$B$17:$G$27,N$43,FALSE))," ",VLOOKUP($K32,'Calc-Drivers'!$B$17:$G$27,N$43,FALSE))</f>
        <v xml:space="preserve"> </v>
      </c>
      <c r="O32" s="2" t="str">
        <f>IF(ISERROR(VLOOKUP($K32,'Calc-Drivers'!$B$17:$G$27,O$43,FALSE))," ",VLOOKUP($K32,'Calc-Drivers'!$B$17:$G$27,O$43,FALSE))</f>
        <v xml:space="preserve"> </v>
      </c>
      <c r="P32" s="2" t="str">
        <f>IF(ISERROR(VLOOKUP($K32,'Calc-Drivers'!$B$17:$G$27,P$43,FALSE))," ",VLOOKUP($K32,'Calc-Drivers'!$B$17:$G$27,P$43,FALSE))</f>
        <v xml:space="preserve"> </v>
      </c>
      <c r="S32" s="2" t="str">
        <f t="shared" si="6"/>
        <v xml:space="preserve"> </v>
      </c>
      <c r="T32" s="2" t="str">
        <f t="shared" si="6"/>
        <v xml:space="preserve"> </v>
      </c>
      <c r="U32" s="2" t="str">
        <f t="shared" si="6"/>
        <v xml:space="preserve"> </v>
      </c>
      <c r="V32" s="2" t="str">
        <f t="shared" si="6"/>
        <v xml:space="preserve"> </v>
      </c>
      <c r="W32" s="2" t="str">
        <f t="shared" si="6"/>
        <v xml:space="preserve"> </v>
      </c>
      <c r="Z32" s="2" t="str">
        <f t="shared" si="7"/>
        <v xml:space="preserve"> </v>
      </c>
      <c r="AA32" s="2" t="str">
        <f t="shared" si="7"/>
        <v xml:space="preserve"> </v>
      </c>
      <c r="AB32" s="2" t="str">
        <f t="shared" si="7"/>
        <v xml:space="preserve"> </v>
      </c>
      <c r="AC32" s="2" t="str">
        <f t="shared" si="8"/>
        <v xml:space="preserve"> </v>
      </c>
      <c r="AD32" s="2" t="str">
        <f t="shared" si="8"/>
        <v xml:space="preserve"> </v>
      </c>
      <c r="AG32" s="2" t="str">
        <f>IF(ISERROR(Z32*100000000/'Calc-Units'!$E$23)," ",Z32*100000000/'Calc-Units'!$E$23)</f>
        <v xml:space="preserve"> </v>
      </c>
      <c r="AH32" s="2" t="str">
        <f>IF(ISERROR(AA32*100000000/'Calc-Units'!$D$23)," ",AA32*100000000/'Calc-Units'!$D$23)</f>
        <v xml:space="preserve"> </v>
      </c>
      <c r="AI32" s="2" t="str">
        <f>IF(ISERROR(AB32*100000000/'Calc-Units'!$C$23)," ",AB32*100000000/'Calc-Units'!$C$23)</f>
        <v xml:space="preserve"> </v>
      </c>
      <c r="AJ32" s="2" t="str">
        <f>IF(ISERROR(AC32*100000000/'Calc-Units'!$C$23)," ",AC32*100000000/'Calc-Units'!$C$23)</f>
        <v xml:space="preserve"> </v>
      </c>
      <c r="AL32" s="2">
        <v>0</v>
      </c>
      <c r="AM32" s="2">
        <f t="shared" si="9"/>
        <v>0</v>
      </c>
      <c r="AN32" s="2">
        <f t="shared" si="10"/>
        <v>0.49999999999999889</v>
      </c>
      <c r="AQ32" s="2" t="str">
        <f t="shared" si="11"/>
        <v xml:space="preserve"> </v>
      </c>
      <c r="AR32" s="2" t="str">
        <f t="shared" si="11"/>
        <v xml:space="preserve"> </v>
      </c>
      <c r="AS32" s="2" t="str">
        <f t="shared" si="11"/>
        <v xml:space="preserve"> </v>
      </c>
      <c r="AT32" s="2" t="str">
        <f t="shared" si="11"/>
        <v xml:space="preserve"> </v>
      </c>
      <c r="AU32" s="2" t="str">
        <f t="shared" si="11"/>
        <v xml:space="preserve"> </v>
      </c>
      <c r="AX32" s="2" t="str">
        <f>IF(ISERROR(AQ32*100000000/'Calc-Units'!$E$23)," ",AQ32*100000000/'Calc-Units'!$E$23)</f>
        <v xml:space="preserve"> </v>
      </c>
      <c r="AY32" s="2" t="str">
        <f>IF(ISERROR(AR32*100000000/'Calc-Units'!$D$23)," ",AR32*100000000/'Calc-Units'!$D$23)</f>
        <v xml:space="preserve"> </v>
      </c>
      <c r="AZ32" s="2" t="str">
        <f>IF(ISERROR(AS32*100000000/'Calc-Units'!$C$23)," ",AS32*100000000/'Calc-Units'!$C$23)</f>
        <v xml:space="preserve"> </v>
      </c>
      <c r="BA32" s="2" t="str">
        <f>IF(ISERROR(AT32*100000000/'Calc-Units'!$C$23)," ",AT32*100000000/'Calc-Units'!$C$23)</f>
        <v xml:space="preserve"> </v>
      </c>
    </row>
    <row r="33" spans="3:53">
      <c r="C33" s="2" t="s">
        <v>559</v>
      </c>
      <c r="D33" s="2">
        <f>'RRP 1.3'!AD$12</f>
        <v>0.30000000000000004</v>
      </c>
      <c r="E33" s="2">
        <v>0</v>
      </c>
      <c r="F33" s="2">
        <v>0</v>
      </c>
      <c r="G33" s="2">
        <v>0</v>
      </c>
      <c r="H33" s="2">
        <v>0</v>
      </c>
      <c r="I33" s="2">
        <f t="shared" si="5"/>
        <v>0.30000000000000004</v>
      </c>
      <c r="K33" s="2" t="s">
        <v>895</v>
      </c>
      <c r="L33" s="2" t="str">
        <f>IF(ISERROR(VLOOKUP($K33,'Calc-Drivers'!$B$17:$G$27,L$43,FALSE))," ",VLOOKUP($K33,'Calc-Drivers'!$B$17:$G$27,L$43,FALSE))</f>
        <v xml:space="preserve"> </v>
      </c>
      <c r="M33" s="2" t="str">
        <f>IF(ISERROR(VLOOKUP($K33,'Calc-Drivers'!$B$17:$G$27,M$43,FALSE))," ",VLOOKUP($K33,'Calc-Drivers'!$B$17:$G$27,M$43,FALSE))</f>
        <v xml:space="preserve"> </v>
      </c>
      <c r="N33" s="2" t="str">
        <f>IF(ISERROR(VLOOKUP($K33,'Calc-Drivers'!$B$17:$G$27,N$43,FALSE))," ",VLOOKUP($K33,'Calc-Drivers'!$B$17:$G$27,N$43,FALSE))</f>
        <v xml:space="preserve"> </v>
      </c>
      <c r="O33" s="2" t="str">
        <f>IF(ISERROR(VLOOKUP($K33,'Calc-Drivers'!$B$17:$G$27,O$43,FALSE))," ",VLOOKUP($K33,'Calc-Drivers'!$B$17:$G$27,O$43,FALSE))</f>
        <v xml:space="preserve"> </v>
      </c>
      <c r="P33" s="2" t="str">
        <f>IF(ISERROR(VLOOKUP($K33,'Calc-Drivers'!$B$17:$G$27,P$43,FALSE))," ",VLOOKUP($K33,'Calc-Drivers'!$B$17:$G$27,P$43,FALSE))</f>
        <v xml:space="preserve"> </v>
      </c>
      <c r="S33" s="2" t="str">
        <f t="shared" si="6"/>
        <v xml:space="preserve"> </v>
      </c>
      <c r="T33" s="2" t="str">
        <f t="shared" si="6"/>
        <v xml:space="preserve"> </v>
      </c>
      <c r="U33" s="2" t="str">
        <f t="shared" si="6"/>
        <v xml:space="preserve"> </v>
      </c>
      <c r="V33" s="2" t="str">
        <f t="shared" si="6"/>
        <v xml:space="preserve"> </v>
      </c>
      <c r="W33" s="2" t="str">
        <f t="shared" si="6"/>
        <v xml:space="preserve"> </v>
      </c>
      <c r="Z33" s="2" t="str">
        <f t="shared" si="7"/>
        <v xml:space="preserve"> </v>
      </c>
      <c r="AA33" s="2" t="str">
        <f t="shared" si="7"/>
        <v xml:space="preserve"> </v>
      </c>
      <c r="AB33" s="2" t="str">
        <f t="shared" si="7"/>
        <v xml:space="preserve"> </v>
      </c>
      <c r="AC33" s="2" t="str">
        <f t="shared" si="8"/>
        <v xml:space="preserve"> </v>
      </c>
      <c r="AD33" s="2" t="str">
        <f t="shared" si="8"/>
        <v xml:space="preserve"> </v>
      </c>
      <c r="AG33" s="2" t="str">
        <f>IF(ISERROR(Z33*100000000/'Calc-Units'!$E$23)," ",Z33*100000000/'Calc-Units'!$E$23)</f>
        <v xml:space="preserve"> </v>
      </c>
      <c r="AH33" s="2" t="str">
        <f>IF(ISERROR(AA33*100000000/'Calc-Units'!$D$23)," ",AA33*100000000/'Calc-Units'!$D$23)</f>
        <v xml:space="preserve"> </v>
      </c>
      <c r="AI33" s="2" t="str">
        <f>IF(ISERROR(AB33*100000000/'Calc-Units'!$C$23)," ",AB33*100000000/'Calc-Units'!$C$23)</f>
        <v xml:space="preserve"> </v>
      </c>
      <c r="AJ33" s="2" t="str">
        <f>IF(ISERROR(AC33*100000000/'Calc-Units'!$C$23)," ",AC33*100000000/'Calc-Units'!$C$23)</f>
        <v xml:space="preserve"> </v>
      </c>
      <c r="AL33" s="2">
        <v>0</v>
      </c>
      <c r="AM33" s="2">
        <f t="shared" si="9"/>
        <v>0</v>
      </c>
      <c r="AN33" s="2">
        <f t="shared" si="10"/>
        <v>0.30000000000000004</v>
      </c>
      <c r="AQ33" s="2" t="str">
        <f t="shared" si="11"/>
        <v xml:space="preserve"> </v>
      </c>
      <c r="AR33" s="2" t="str">
        <f t="shared" si="11"/>
        <v xml:space="preserve"> </v>
      </c>
      <c r="AS33" s="2" t="str">
        <f t="shared" si="11"/>
        <v xml:space="preserve"> </v>
      </c>
      <c r="AT33" s="2" t="str">
        <f t="shared" si="11"/>
        <v xml:space="preserve"> </v>
      </c>
      <c r="AU33" s="2" t="str">
        <f t="shared" si="11"/>
        <v xml:space="preserve"> </v>
      </c>
      <c r="AX33" s="2" t="str">
        <f>IF(ISERROR(AQ33*100000000/'Calc-Units'!$E$23)," ",AQ33*100000000/'Calc-Units'!$E$23)</f>
        <v xml:space="preserve"> </v>
      </c>
      <c r="AY33" s="2" t="str">
        <f>IF(ISERROR(AR33*100000000/'Calc-Units'!$D$23)," ",AR33*100000000/'Calc-Units'!$D$23)</f>
        <v xml:space="preserve"> </v>
      </c>
      <c r="AZ33" s="2" t="str">
        <f>IF(ISERROR(AS33*100000000/'Calc-Units'!$C$23)," ",AS33*100000000/'Calc-Units'!$C$23)</f>
        <v xml:space="preserve"> </v>
      </c>
      <c r="BA33" s="2" t="str">
        <f>IF(ISERROR(AT33*100000000/'Calc-Units'!$C$23)," ",AT33*100000000/'Calc-Units'!$C$23)</f>
        <v xml:space="preserve"> </v>
      </c>
    </row>
    <row r="34" spans="3:53">
      <c r="C34" s="2" t="s">
        <v>560</v>
      </c>
      <c r="D34" s="2">
        <f>'RRP 1.3'!AE$12</f>
        <v>3.1999999999999997</v>
      </c>
      <c r="E34" s="2">
        <v>0</v>
      </c>
      <c r="F34" s="2">
        <v>0</v>
      </c>
      <c r="G34" s="2">
        <v>0</v>
      </c>
      <c r="H34" s="2">
        <v>0</v>
      </c>
      <c r="I34" s="2">
        <f t="shared" si="5"/>
        <v>3.1999999999999997</v>
      </c>
      <c r="K34" s="2" t="s">
        <v>895</v>
      </c>
      <c r="L34" s="2" t="str">
        <f>IF(ISERROR(VLOOKUP($K34,'Calc-Drivers'!$B$17:$G$27,L$43,FALSE))," ",VLOOKUP($K34,'Calc-Drivers'!$B$17:$G$27,L$43,FALSE))</f>
        <v xml:space="preserve"> </v>
      </c>
      <c r="M34" s="2" t="str">
        <f>IF(ISERROR(VLOOKUP($K34,'Calc-Drivers'!$B$17:$G$27,M$43,FALSE))," ",VLOOKUP($K34,'Calc-Drivers'!$B$17:$G$27,M$43,FALSE))</f>
        <v xml:space="preserve"> </v>
      </c>
      <c r="N34" s="2" t="str">
        <f>IF(ISERROR(VLOOKUP($K34,'Calc-Drivers'!$B$17:$G$27,N$43,FALSE))," ",VLOOKUP($K34,'Calc-Drivers'!$B$17:$G$27,N$43,FALSE))</f>
        <v xml:space="preserve"> </v>
      </c>
      <c r="O34" s="2" t="str">
        <f>IF(ISERROR(VLOOKUP($K34,'Calc-Drivers'!$B$17:$G$27,O$43,FALSE))," ",VLOOKUP($K34,'Calc-Drivers'!$B$17:$G$27,O$43,FALSE))</f>
        <v xml:space="preserve"> </v>
      </c>
      <c r="P34" s="2" t="str">
        <f>IF(ISERROR(VLOOKUP($K34,'Calc-Drivers'!$B$17:$G$27,P$43,FALSE))," ",VLOOKUP($K34,'Calc-Drivers'!$B$17:$G$27,P$43,FALSE))</f>
        <v xml:space="preserve"> </v>
      </c>
      <c r="S34" s="2" t="str">
        <f t="shared" si="6"/>
        <v xml:space="preserve"> </v>
      </c>
      <c r="T34" s="2" t="str">
        <f t="shared" si="6"/>
        <v xml:space="preserve"> </v>
      </c>
      <c r="U34" s="2" t="str">
        <f t="shared" si="6"/>
        <v xml:space="preserve"> </v>
      </c>
      <c r="V34" s="2" t="str">
        <f t="shared" si="6"/>
        <v xml:space="preserve"> </v>
      </c>
      <c r="W34" s="2" t="str">
        <f t="shared" si="6"/>
        <v xml:space="preserve"> </v>
      </c>
      <c r="Z34" s="2" t="str">
        <f t="shared" si="7"/>
        <v xml:space="preserve"> </v>
      </c>
      <c r="AA34" s="2" t="str">
        <f t="shared" si="7"/>
        <v xml:space="preserve"> </v>
      </c>
      <c r="AB34" s="2" t="str">
        <f t="shared" si="7"/>
        <v xml:space="preserve"> </v>
      </c>
      <c r="AC34" s="2" t="str">
        <f t="shared" si="8"/>
        <v xml:space="preserve"> </v>
      </c>
      <c r="AD34" s="2" t="str">
        <f t="shared" si="8"/>
        <v xml:space="preserve"> </v>
      </c>
      <c r="AG34" s="2" t="str">
        <f>IF(ISERROR(Z34*100000000/'Calc-Units'!$E$23)," ",Z34*100000000/'Calc-Units'!$E$23)</f>
        <v xml:space="preserve"> </v>
      </c>
      <c r="AH34" s="2" t="str">
        <f>IF(ISERROR(AA34*100000000/'Calc-Units'!$D$23)," ",AA34*100000000/'Calc-Units'!$D$23)</f>
        <v xml:space="preserve"> </v>
      </c>
      <c r="AI34" s="2" t="str">
        <f>IF(ISERROR(AB34*100000000/'Calc-Units'!$C$23)," ",AB34*100000000/'Calc-Units'!$C$23)</f>
        <v xml:space="preserve"> </v>
      </c>
      <c r="AJ34" s="2" t="str">
        <f>IF(ISERROR(AC34*100000000/'Calc-Units'!$C$23)," ",AC34*100000000/'Calc-Units'!$C$23)</f>
        <v xml:space="preserve"> </v>
      </c>
      <c r="AL34" s="2">
        <v>0</v>
      </c>
      <c r="AM34" s="2">
        <f t="shared" si="9"/>
        <v>0</v>
      </c>
      <c r="AN34" s="2">
        <f t="shared" si="10"/>
        <v>3.1999999999999997</v>
      </c>
      <c r="AQ34" s="2" t="str">
        <f t="shared" si="11"/>
        <v xml:space="preserve"> </v>
      </c>
      <c r="AR34" s="2" t="str">
        <f t="shared" si="11"/>
        <v xml:space="preserve"> </v>
      </c>
      <c r="AS34" s="2" t="str">
        <f t="shared" si="11"/>
        <v xml:space="preserve"> </v>
      </c>
      <c r="AT34" s="2" t="str">
        <f t="shared" si="11"/>
        <v xml:space="preserve"> </v>
      </c>
      <c r="AU34" s="2" t="str">
        <f t="shared" si="11"/>
        <v xml:space="preserve"> </v>
      </c>
      <c r="AX34" s="2" t="str">
        <f>IF(ISERROR(AQ34*100000000/'Calc-Units'!$E$23)," ",AQ34*100000000/'Calc-Units'!$E$23)</f>
        <v xml:space="preserve"> </v>
      </c>
      <c r="AY34" s="2" t="str">
        <f>IF(ISERROR(AR34*100000000/'Calc-Units'!$D$23)," ",AR34*100000000/'Calc-Units'!$D$23)</f>
        <v xml:space="preserve"> </v>
      </c>
      <c r="AZ34" s="2" t="str">
        <f>IF(ISERROR(AS34*100000000/'Calc-Units'!$C$23)," ",AS34*100000000/'Calc-Units'!$C$23)</f>
        <v xml:space="preserve"> </v>
      </c>
      <c r="BA34" s="2" t="str">
        <f>IF(ISERROR(AT34*100000000/'Calc-Units'!$C$23)," ",AT34*100000000/'Calc-Units'!$C$23)</f>
        <v xml:space="preserve"> </v>
      </c>
    </row>
    <row r="35" spans="3:53">
      <c r="C35" s="2" t="s">
        <v>561</v>
      </c>
      <c r="D35" s="2">
        <f>'RRP 1.3'!AF$12</f>
        <v>33.1</v>
      </c>
      <c r="E35" s="2">
        <v>0</v>
      </c>
      <c r="F35" s="2">
        <v>0</v>
      </c>
      <c r="G35" s="2">
        <v>0</v>
      </c>
      <c r="H35" s="2">
        <v>0</v>
      </c>
      <c r="I35" s="2">
        <f t="shared" si="5"/>
        <v>33.1</v>
      </c>
      <c r="K35" s="2" t="s">
        <v>895</v>
      </c>
      <c r="L35" s="2" t="str">
        <f>IF(ISERROR(VLOOKUP($K35,'Calc-Drivers'!$B$17:$G$27,L$43,FALSE))," ",VLOOKUP($K35,'Calc-Drivers'!$B$17:$G$27,L$43,FALSE))</f>
        <v xml:space="preserve"> </v>
      </c>
      <c r="M35" s="2" t="str">
        <f>IF(ISERROR(VLOOKUP($K35,'Calc-Drivers'!$B$17:$G$27,M$43,FALSE))," ",VLOOKUP($K35,'Calc-Drivers'!$B$17:$G$27,M$43,FALSE))</f>
        <v xml:space="preserve"> </v>
      </c>
      <c r="N35" s="2" t="str">
        <f>IF(ISERROR(VLOOKUP($K35,'Calc-Drivers'!$B$17:$G$27,N$43,FALSE))," ",VLOOKUP($K35,'Calc-Drivers'!$B$17:$G$27,N$43,FALSE))</f>
        <v xml:space="preserve"> </v>
      </c>
      <c r="O35" s="2" t="str">
        <f>IF(ISERROR(VLOOKUP($K35,'Calc-Drivers'!$B$17:$G$27,O$43,FALSE))," ",VLOOKUP($K35,'Calc-Drivers'!$B$17:$G$27,O$43,FALSE))</f>
        <v xml:space="preserve"> </v>
      </c>
      <c r="P35" s="2" t="str">
        <f>IF(ISERROR(VLOOKUP($K35,'Calc-Drivers'!$B$17:$G$27,P$43,FALSE))," ",VLOOKUP($K35,'Calc-Drivers'!$B$17:$G$27,P$43,FALSE))</f>
        <v xml:space="preserve"> </v>
      </c>
      <c r="S35" s="2" t="str">
        <f t="shared" si="6"/>
        <v xml:space="preserve"> </v>
      </c>
      <c r="T35" s="2" t="str">
        <f t="shared" si="6"/>
        <v xml:space="preserve"> </v>
      </c>
      <c r="U35" s="2" t="str">
        <f t="shared" si="6"/>
        <v xml:space="preserve"> </v>
      </c>
      <c r="V35" s="2" t="str">
        <f t="shared" si="6"/>
        <v xml:space="preserve"> </v>
      </c>
      <c r="W35" s="2" t="str">
        <f t="shared" si="6"/>
        <v xml:space="preserve"> </v>
      </c>
      <c r="Z35" s="2" t="str">
        <f t="shared" si="7"/>
        <v xml:space="preserve"> </v>
      </c>
      <c r="AA35" s="2" t="str">
        <f t="shared" si="7"/>
        <v xml:space="preserve"> </v>
      </c>
      <c r="AB35" s="2" t="str">
        <f t="shared" si="7"/>
        <v xml:space="preserve"> </v>
      </c>
      <c r="AC35" s="2" t="str">
        <f t="shared" si="8"/>
        <v xml:space="preserve"> </v>
      </c>
      <c r="AD35" s="2" t="str">
        <f t="shared" si="8"/>
        <v xml:space="preserve"> </v>
      </c>
      <c r="AG35" s="2" t="str">
        <f>IF(ISERROR(Z35*100000000/'Calc-Units'!$E$23)," ",Z35*100000000/'Calc-Units'!$E$23)</f>
        <v xml:space="preserve"> </v>
      </c>
      <c r="AH35" s="2" t="str">
        <f>IF(ISERROR(AA35*100000000/'Calc-Units'!$D$23)," ",AA35*100000000/'Calc-Units'!$D$23)</f>
        <v xml:space="preserve"> </v>
      </c>
      <c r="AI35" s="2" t="str">
        <f>IF(ISERROR(AB35*100000000/'Calc-Units'!$C$23)," ",AB35*100000000/'Calc-Units'!$C$23)</f>
        <v xml:space="preserve"> </v>
      </c>
      <c r="AJ35" s="2" t="str">
        <f>IF(ISERROR(AC35*100000000/'Calc-Units'!$C$23)," ",AC35*100000000/'Calc-Units'!$C$23)</f>
        <v xml:space="preserve"> </v>
      </c>
      <c r="AL35" s="2">
        <v>0</v>
      </c>
      <c r="AM35" s="2">
        <f t="shared" si="9"/>
        <v>0</v>
      </c>
      <c r="AN35" s="2">
        <f t="shared" si="10"/>
        <v>33.1</v>
      </c>
      <c r="AQ35" s="2" t="str">
        <f t="shared" si="11"/>
        <v xml:space="preserve"> </v>
      </c>
      <c r="AR35" s="2" t="str">
        <f t="shared" si="11"/>
        <v xml:space="preserve"> </v>
      </c>
      <c r="AS35" s="2" t="str">
        <f t="shared" si="11"/>
        <v xml:space="preserve"> </v>
      </c>
      <c r="AT35" s="2" t="str">
        <f t="shared" si="11"/>
        <v xml:space="preserve"> </v>
      </c>
      <c r="AU35" s="2" t="str">
        <f t="shared" si="11"/>
        <v xml:space="preserve"> </v>
      </c>
      <c r="AX35" s="2" t="str">
        <f>IF(ISERROR(AQ35*100000000/'Calc-Units'!$E$23)," ",AQ35*100000000/'Calc-Units'!$E$23)</f>
        <v xml:space="preserve"> </v>
      </c>
      <c r="AY35" s="2" t="str">
        <f>IF(ISERROR(AR35*100000000/'Calc-Units'!$D$23)," ",AR35*100000000/'Calc-Units'!$D$23)</f>
        <v xml:space="preserve"> </v>
      </c>
      <c r="AZ35" s="2" t="str">
        <f>IF(ISERROR(AS35*100000000/'Calc-Units'!$C$23)," ",AS35*100000000/'Calc-Units'!$C$23)</f>
        <v xml:space="preserve"> </v>
      </c>
      <c r="BA35" s="2" t="str">
        <f>IF(ISERROR(AT35*100000000/'Calc-Units'!$C$23)," ",AT35*100000000/'Calc-Units'!$C$23)</f>
        <v xml:space="preserve"> </v>
      </c>
    </row>
    <row r="36" spans="3:53">
      <c r="C36" s="2" t="s">
        <v>562</v>
      </c>
      <c r="D36" s="2">
        <f>'RRP 1.3'!AG$12</f>
        <v>14.1</v>
      </c>
      <c r="E36" s="2">
        <v>0</v>
      </c>
      <c r="F36" s="2">
        <v>0</v>
      </c>
      <c r="G36" s="2">
        <v>0</v>
      </c>
      <c r="H36" s="2">
        <v>0</v>
      </c>
      <c r="I36" s="2">
        <f t="shared" si="5"/>
        <v>14.1</v>
      </c>
      <c r="K36" s="2" t="s">
        <v>895</v>
      </c>
      <c r="L36" s="2" t="str">
        <f>IF(ISERROR(VLOOKUP($K36,'Calc-Drivers'!$B$17:$G$27,L$43,FALSE))," ",VLOOKUP($K36,'Calc-Drivers'!$B$17:$G$27,L$43,FALSE))</f>
        <v xml:space="preserve"> </v>
      </c>
      <c r="M36" s="2" t="str">
        <f>IF(ISERROR(VLOOKUP($K36,'Calc-Drivers'!$B$17:$G$27,M$43,FALSE))," ",VLOOKUP($K36,'Calc-Drivers'!$B$17:$G$27,M$43,FALSE))</f>
        <v xml:space="preserve"> </v>
      </c>
      <c r="N36" s="2" t="str">
        <f>IF(ISERROR(VLOOKUP($K36,'Calc-Drivers'!$B$17:$G$27,N$43,FALSE))," ",VLOOKUP($K36,'Calc-Drivers'!$B$17:$G$27,N$43,FALSE))</f>
        <v xml:space="preserve"> </v>
      </c>
      <c r="O36" s="2" t="str">
        <f>IF(ISERROR(VLOOKUP($K36,'Calc-Drivers'!$B$17:$G$27,O$43,FALSE))," ",VLOOKUP($K36,'Calc-Drivers'!$B$17:$G$27,O$43,FALSE))</f>
        <v xml:space="preserve"> </v>
      </c>
      <c r="P36" s="2" t="str">
        <f>IF(ISERROR(VLOOKUP($K36,'Calc-Drivers'!$B$17:$G$27,P$43,FALSE))," ",VLOOKUP($K36,'Calc-Drivers'!$B$17:$G$27,P$43,FALSE))</f>
        <v xml:space="preserve"> </v>
      </c>
      <c r="S36" s="2" t="str">
        <f t="shared" si="6"/>
        <v xml:space="preserve"> </v>
      </c>
      <c r="T36" s="2" t="str">
        <f t="shared" si="6"/>
        <v xml:space="preserve"> </v>
      </c>
      <c r="U36" s="2" t="str">
        <f t="shared" si="6"/>
        <v xml:space="preserve"> </v>
      </c>
      <c r="V36" s="2" t="str">
        <f t="shared" si="6"/>
        <v xml:space="preserve"> </v>
      </c>
      <c r="W36" s="2" t="str">
        <f t="shared" si="6"/>
        <v xml:space="preserve"> </v>
      </c>
      <c r="Z36" s="2" t="str">
        <f t="shared" si="7"/>
        <v xml:space="preserve"> </v>
      </c>
      <c r="AA36" s="2" t="str">
        <f t="shared" si="7"/>
        <v xml:space="preserve"> </v>
      </c>
      <c r="AB36" s="2" t="str">
        <f t="shared" si="7"/>
        <v xml:space="preserve"> </v>
      </c>
      <c r="AC36" s="2" t="str">
        <f t="shared" si="8"/>
        <v xml:space="preserve"> </v>
      </c>
      <c r="AD36" s="2" t="str">
        <f t="shared" si="8"/>
        <v xml:space="preserve"> </v>
      </c>
      <c r="AG36" s="2" t="str">
        <f>IF(ISERROR(Z36*100000000/'Calc-Units'!$E$23)," ",Z36*100000000/'Calc-Units'!$E$23)</f>
        <v xml:space="preserve"> </v>
      </c>
      <c r="AH36" s="2" t="str">
        <f>IF(ISERROR(AA36*100000000/'Calc-Units'!$D$23)," ",AA36*100000000/'Calc-Units'!$D$23)</f>
        <v xml:space="preserve"> </v>
      </c>
      <c r="AI36" s="2" t="str">
        <f>IF(ISERROR(AB36*100000000/'Calc-Units'!$C$23)," ",AB36*100000000/'Calc-Units'!$C$23)</f>
        <v xml:space="preserve"> </v>
      </c>
      <c r="AJ36" s="2" t="str">
        <f>IF(ISERROR(AC36*100000000/'Calc-Units'!$C$23)," ",AC36*100000000/'Calc-Units'!$C$23)</f>
        <v xml:space="preserve"> </v>
      </c>
      <c r="AL36" s="2">
        <v>0</v>
      </c>
      <c r="AM36" s="2">
        <f t="shared" si="9"/>
        <v>0</v>
      </c>
      <c r="AN36" s="2">
        <f t="shared" si="10"/>
        <v>14.1</v>
      </c>
      <c r="AQ36" s="2" t="str">
        <f t="shared" si="11"/>
        <v xml:space="preserve"> </v>
      </c>
      <c r="AR36" s="2" t="str">
        <f t="shared" si="11"/>
        <v xml:space="preserve"> </v>
      </c>
      <c r="AS36" s="2" t="str">
        <f t="shared" si="11"/>
        <v xml:space="preserve"> </v>
      </c>
      <c r="AT36" s="2" t="str">
        <f t="shared" si="11"/>
        <v xml:space="preserve"> </v>
      </c>
      <c r="AU36" s="2" t="str">
        <f t="shared" si="11"/>
        <v xml:space="preserve"> </v>
      </c>
      <c r="AX36" s="2" t="str">
        <f>IF(ISERROR(AQ36*100000000/'Calc-Units'!$E$23)," ",AQ36*100000000/'Calc-Units'!$E$23)</f>
        <v xml:space="preserve"> </v>
      </c>
      <c r="AY36" s="2" t="str">
        <f>IF(ISERROR(AR36*100000000/'Calc-Units'!$D$23)," ",AR36*100000000/'Calc-Units'!$D$23)</f>
        <v xml:space="preserve"> </v>
      </c>
      <c r="AZ36" s="2" t="str">
        <f>IF(ISERROR(AS36*100000000/'Calc-Units'!$C$23)," ",AS36*100000000/'Calc-Units'!$C$23)</f>
        <v xml:space="preserve"> </v>
      </c>
      <c r="BA36" s="2" t="str">
        <f>IF(ISERROR(AT36*100000000/'Calc-Units'!$C$23)," ",AT36*100000000/'Calc-Units'!$C$23)</f>
        <v xml:space="preserve"> </v>
      </c>
    </row>
    <row r="37" spans="3:53">
      <c r="C37" s="2" t="s">
        <v>563</v>
      </c>
      <c r="D37" s="2">
        <f>'RRP 1.3'!AH$12</f>
        <v>4.3</v>
      </c>
      <c r="E37" s="2">
        <v>0</v>
      </c>
      <c r="F37" s="2">
        <v>0</v>
      </c>
      <c r="G37" s="2">
        <v>0</v>
      </c>
      <c r="H37" s="2">
        <v>0</v>
      </c>
      <c r="I37" s="2">
        <f t="shared" si="5"/>
        <v>4.3</v>
      </c>
      <c r="K37" s="2" t="s">
        <v>895</v>
      </c>
      <c r="L37" s="2" t="str">
        <f>IF(ISERROR(VLOOKUP($K37,'Calc-Drivers'!$B$17:$G$27,L$43,FALSE))," ",VLOOKUP($K37,'Calc-Drivers'!$B$17:$G$27,L$43,FALSE))</f>
        <v xml:space="preserve"> </v>
      </c>
      <c r="M37" s="2" t="str">
        <f>IF(ISERROR(VLOOKUP($K37,'Calc-Drivers'!$B$17:$G$27,M$43,FALSE))," ",VLOOKUP($K37,'Calc-Drivers'!$B$17:$G$27,M$43,FALSE))</f>
        <v xml:space="preserve"> </v>
      </c>
      <c r="N37" s="2" t="str">
        <f>IF(ISERROR(VLOOKUP($K37,'Calc-Drivers'!$B$17:$G$27,N$43,FALSE))," ",VLOOKUP($K37,'Calc-Drivers'!$B$17:$G$27,N$43,FALSE))</f>
        <v xml:space="preserve"> </v>
      </c>
      <c r="O37" s="2" t="str">
        <f>IF(ISERROR(VLOOKUP($K37,'Calc-Drivers'!$B$17:$G$27,O$43,FALSE))," ",VLOOKUP($K37,'Calc-Drivers'!$B$17:$G$27,O$43,FALSE))</f>
        <v xml:space="preserve"> </v>
      </c>
      <c r="P37" s="2" t="str">
        <f>IF(ISERROR(VLOOKUP($K37,'Calc-Drivers'!$B$17:$G$27,P$43,FALSE))," ",VLOOKUP($K37,'Calc-Drivers'!$B$17:$G$27,P$43,FALSE))</f>
        <v xml:space="preserve"> </v>
      </c>
      <c r="S37" s="2" t="str">
        <f t="shared" si="6"/>
        <v xml:space="preserve"> </v>
      </c>
      <c r="T37" s="2" t="str">
        <f t="shared" si="6"/>
        <v xml:space="preserve"> </v>
      </c>
      <c r="U37" s="2" t="str">
        <f t="shared" si="6"/>
        <v xml:space="preserve"> </v>
      </c>
      <c r="V37" s="2" t="str">
        <f t="shared" si="6"/>
        <v xml:space="preserve"> </v>
      </c>
      <c r="W37" s="2" t="str">
        <f t="shared" si="6"/>
        <v xml:space="preserve"> </v>
      </c>
      <c r="Z37" s="2" t="str">
        <f t="shared" si="7"/>
        <v xml:space="preserve"> </v>
      </c>
      <c r="AA37" s="2" t="str">
        <f t="shared" si="7"/>
        <v xml:space="preserve"> </v>
      </c>
      <c r="AB37" s="2" t="str">
        <f t="shared" si="7"/>
        <v xml:space="preserve"> </v>
      </c>
      <c r="AC37" s="2" t="str">
        <f t="shared" si="8"/>
        <v xml:space="preserve"> </v>
      </c>
      <c r="AD37" s="2" t="str">
        <f t="shared" si="8"/>
        <v xml:space="preserve"> </v>
      </c>
      <c r="AG37" s="2" t="str">
        <f>IF(ISERROR(Z37*100000000/'Calc-Units'!$E$23)," ",Z37*100000000/'Calc-Units'!$E$23)</f>
        <v xml:space="preserve"> </v>
      </c>
      <c r="AH37" s="2" t="str">
        <f>IF(ISERROR(AA37*100000000/'Calc-Units'!$D$23)," ",AA37*100000000/'Calc-Units'!$D$23)</f>
        <v xml:space="preserve"> </v>
      </c>
      <c r="AI37" s="2" t="str">
        <f>IF(ISERROR(AB37*100000000/'Calc-Units'!$C$23)," ",AB37*100000000/'Calc-Units'!$C$23)</f>
        <v xml:space="preserve"> </v>
      </c>
      <c r="AJ37" s="2" t="str">
        <f>IF(ISERROR(AC37*100000000/'Calc-Units'!$C$23)," ",AC37*100000000/'Calc-Units'!$C$23)</f>
        <v xml:space="preserve"> </v>
      </c>
      <c r="AL37" s="2">
        <v>0</v>
      </c>
      <c r="AM37" s="2">
        <f t="shared" si="9"/>
        <v>0</v>
      </c>
      <c r="AN37" s="2">
        <f t="shared" si="10"/>
        <v>4.3</v>
      </c>
      <c r="AQ37" s="2" t="str">
        <f t="shared" si="11"/>
        <v xml:space="preserve"> </v>
      </c>
      <c r="AR37" s="2" t="str">
        <f t="shared" si="11"/>
        <v xml:space="preserve"> </v>
      </c>
      <c r="AS37" s="2" t="str">
        <f t="shared" si="11"/>
        <v xml:space="preserve"> </v>
      </c>
      <c r="AT37" s="2" t="str">
        <f t="shared" si="11"/>
        <v xml:space="preserve"> </v>
      </c>
      <c r="AU37" s="2" t="str">
        <f t="shared" si="11"/>
        <v xml:space="preserve"> </v>
      </c>
      <c r="AX37" s="2" t="str">
        <f>IF(ISERROR(AQ37*100000000/'Calc-Units'!$E$23)," ",AQ37*100000000/'Calc-Units'!$E$23)</f>
        <v xml:space="preserve"> </v>
      </c>
      <c r="AY37" s="2" t="str">
        <f>IF(ISERROR(AR37*100000000/'Calc-Units'!$D$23)," ",AR37*100000000/'Calc-Units'!$D$23)</f>
        <v xml:space="preserve"> </v>
      </c>
      <c r="AZ37" s="2" t="str">
        <f>IF(ISERROR(AS37*100000000/'Calc-Units'!$C$23)," ",AS37*100000000/'Calc-Units'!$C$23)</f>
        <v xml:space="preserve"> </v>
      </c>
      <c r="BA37" s="2" t="str">
        <f>IF(ISERROR(AT37*100000000/'Calc-Units'!$C$23)," ",AT37*100000000/'Calc-Units'!$C$23)</f>
        <v xml:space="preserve"> </v>
      </c>
    </row>
    <row r="38" spans="3:53">
      <c r="C38" s="2" t="s">
        <v>564</v>
      </c>
      <c r="D38" s="2">
        <f>'RRP 1.3'!AI$12</f>
        <v>-0.2</v>
      </c>
      <c r="E38" s="2">
        <v>0</v>
      </c>
      <c r="F38" s="2">
        <v>0</v>
      </c>
      <c r="G38" s="2">
        <v>0</v>
      </c>
      <c r="H38" s="2">
        <v>0</v>
      </c>
      <c r="I38" s="2">
        <f t="shared" si="5"/>
        <v>-0.2</v>
      </c>
      <c r="K38" s="2" t="s">
        <v>895</v>
      </c>
      <c r="L38" s="2" t="str">
        <f>IF(ISERROR(VLOOKUP($K38,'Calc-Drivers'!$B$17:$G$27,L$43,FALSE))," ",VLOOKUP($K38,'Calc-Drivers'!$B$17:$G$27,L$43,FALSE))</f>
        <v xml:space="preserve"> </v>
      </c>
      <c r="M38" s="2" t="str">
        <f>IF(ISERROR(VLOOKUP($K38,'Calc-Drivers'!$B$17:$G$27,M$43,FALSE))," ",VLOOKUP($K38,'Calc-Drivers'!$B$17:$G$27,M$43,FALSE))</f>
        <v xml:space="preserve"> </v>
      </c>
      <c r="N38" s="2" t="str">
        <f>IF(ISERROR(VLOOKUP($K38,'Calc-Drivers'!$B$17:$G$27,N$43,FALSE))," ",VLOOKUP($K38,'Calc-Drivers'!$B$17:$G$27,N$43,FALSE))</f>
        <v xml:space="preserve"> </v>
      </c>
      <c r="O38" s="2" t="str">
        <f>IF(ISERROR(VLOOKUP($K38,'Calc-Drivers'!$B$17:$G$27,O$43,FALSE))," ",VLOOKUP($K38,'Calc-Drivers'!$B$17:$G$27,O$43,FALSE))</f>
        <v xml:space="preserve"> </v>
      </c>
      <c r="P38" s="2" t="str">
        <f>IF(ISERROR(VLOOKUP($K38,'Calc-Drivers'!$B$17:$G$27,P$43,FALSE))," ",VLOOKUP($K38,'Calc-Drivers'!$B$17:$G$27,P$43,FALSE))</f>
        <v xml:space="preserve"> </v>
      </c>
      <c r="S38" s="2" t="str">
        <f t="shared" si="6"/>
        <v xml:space="preserve"> </v>
      </c>
      <c r="T38" s="2" t="str">
        <f t="shared" si="6"/>
        <v xml:space="preserve"> </v>
      </c>
      <c r="U38" s="2" t="str">
        <f t="shared" si="6"/>
        <v xml:space="preserve"> </v>
      </c>
      <c r="V38" s="2" t="str">
        <f t="shared" si="6"/>
        <v xml:space="preserve"> </v>
      </c>
      <c r="W38" s="2" t="str">
        <f t="shared" si="6"/>
        <v xml:space="preserve"> </v>
      </c>
      <c r="Z38" s="2" t="str">
        <f t="shared" si="7"/>
        <v xml:space="preserve"> </v>
      </c>
      <c r="AA38" s="2" t="str">
        <f t="shared" si="7"/>
        <v xml:space="preserve"> </v>
      </c>
      <c r="AB38" s="2" t="str">
        <f t="shared" si="7"/>
        <v xml:space="preserve"> </v>
      </c>
      <c r="AC38" s="2" t="str">
        <f t="shared" si="8"/>
        <v xml:space="preserve"> </v>
      </c>
      <c r="AD38" s="2" t="str">
        <f t="shared" si="8"/>
        <v xml:space="preserve"> </v>
      </c>
      <c r="AG38" s="2" t="str">
        <f>IF(ISERROR(Z38*100000000/'Calc-Units'!$E$23)," ",Z38*100000000/'Calc-Units'!$E$23)</f>
        <v xml:space="preserve"> </v>
      </c>
      <c r="AH38" s="2" t="str">
        <f>IF(ISERROR(AA38*100000000/'Calc-Units'!$D$23)," ",AA38*100000000/'Calc-Units'!$D$23)</f>
        <v xml:space="preserve"> </v>
      </c>
      <c r="AI38" s="2" t="str">
        <f>IF(ISERROR(AB38*100000000/'Calc-Units'!$C$23)," ",AB38*100000000/'Calc-Units'!$C$23)</f>
        <v xml:space="preserve"> </v>
      </c>
      <c r="AJ38" s="2" t="str">
        <f>IF(ISERROR(AC38*100000000/'Calc-Units'!$C$23)," ",AC38*100000000/'Calc-Units'!$C$23)</f>
        <v xml:space="preserve"> </v>
      </c>
      <c r="AL38" s="2">
        <v>0</v>
      </c>
      <c r="AM38" s="2">
        <f t="shared" si="9"/>
        <v>0</v>
      </c>
      <c r="AN38" s="2">
        <f t="shared" si="10"/>
        <v>-0.2</v>
      </c>
      <c r="AQ38" s="2" t="str">
        <f t="shared" si="11"/>
        <v xml:space="preserve"> </v>
      </c>
      <c r="AR38" s="2" t="str">
        <f t="shared" si="11"/>
        <v xml:space="preserve"> </v>
      </c>
      <c r="AS38" s="2" t="str">
        <f t="shared" si="11"/>
        <v xml:space="preserve"> </v>
      </c>
      <c r="AT38" s="2" t="str">
        <f t="shared" si="11"/>
        <v xml:space="preserve"> </v>
      </c>
      <c r="AU38" s="2" t="str">
        <f t="shared" si="11"/>
        <v xml:space="preserve"> </v>
      </c>
      <c r="AX38" s="2" t="str">
        <f>IF(ISERROR(AQ38*100000000/'Calc-Units'!$E$23)," ",AQ38*100000000/'Calc-Units'!$E$23)</f>
        <v xml:space="preserve"> </v>
      </c>
      <c r="AY38" s="2" t="str">
        <f>IF(ISERROR(AR38*100000000/'Calc-Units'!$D$23)," ",AR38*100000000/'Calc-Units'!$D$23)</f>
        <v xml:space="preserve"> </v>
      </c>
      <c r="AZ38" s="2" t="str">
        <f>IF(ISERROR(AS38*100000000/'Calc-Units'!$C$23)," ",AS38*100000000/'Calc-Units'!$C$23)</f>
        <v xml:space="preserve"> </v>
      </c>
      <c r="BA38" s="2" t="str">
        <f>IF(ISERROR(AT38*100000000/'Calc-Units'!$C$23)," ",AT38*100000000/'Calc-Units'!$C$23)</f>
        <v xml:space="preserve"> </v>
      </c>
    </row>
    <row r="39" spans="3:53">
      <c r="C39" s="2" t="s">
        <v>565</v>
      </c>
      <c r="D39" s="2">
        <f>'RRP 1.3'!AJ$12</f>
        <v>-2.7999999999999545</v>
      </c>
      <c r="E39" s="2">
        <v>0</v>
      </c>
      <c r="F39" s="2">
        <v>0</v>
      </c>
      <c r="G39" s="2">
        <v>0</v>
      </c>
      <c r="H39" s="2">
        <v>0</v>
      </c>
      <c r="I39" s="2">
        <f t="shared" si="5"/>
        <v>-2.7999999999999545</v>
      </c>
      <c r="K39" s="2" t="s">
        <v>895</v>
      </c>
      <c r="L39" s="2" t="str">
        <f>IF(ISERROR(VLOOKUP($K39,'Calc-Drivers'!$B$17:$G$27,L$43,FALSE))," ",VLOOKUP($K39,'Calc-Drivers'!$B$17:$G$27,L$43,FALSE))</f>
        <v xml:space="preserve"> </v>
      </c>
      <c r="M39" s="2" t="str">
        <f>IF(ISERROR(VLOOKUP($K39,'Calc-Drivers'!$B$17:$G$27,M$43,FALSE))," ",VLOOKUP($K39,'Calc-Drivers'!$B$17:$G$27,M$43,FALSE))</f>
        <v xml:space="preserve"> </v>
      </c>
      <c r="N39" s="2" t="str">
        <f>IF(ISERROR(VLOOKUP($K39,'Calc-Drivers'!$B$17:$G$27,N$43,FALSE))," ",VLOOKUP($K39,'Calc-Drivers'!$B$17:$G$27,N$43,FALSE))</f>
        <v xml:space="preserve"> </v>
      </c>
      <c r="O39" s="2" t="str">
        <f>IF(ISERROR(VLOOKUP($K39,'Calc-Drivers'!$B$17:$G$27,O$43,FALSE))," ",VLOOKUP($K39,'Calc-Drivers'!$B$17:$G$27,O$43,FALSE))</f>
        <v xml:space="preserve"> </v>
      </c>
      <c r="P39" s="2" t="str">
        <f>IF(ISERROR(VLOOKUP($K39,'Calc-Drivers'!$B$17:$G$27,P$43,FALSE))," ",VLOOKUP($K39,'Calc-Drivers'!$B$17:$G$27,P$43,FALSE))</f>
        <v xml:space="preserve"> </v>
      </c>
      <c r="S39" s="2" t="str">
        <f t="shared" si="6"/>
        <v xml:space="preserve"> </v>
      </c>
      <c r="T39" s="2" t="str">
        <f t="shared" si="6"/>
        <v xml:space="preserve"> </v>
      </c>
      <c r="U39" s="2" t="str">
        <f t="shared" si="6"/>
        <v xml:space="preserve"> </v>
      </c>
      <c r="V39" s="2" t="str">
        <f t="shared" si="6"/>
        <v xml:space="preserve"> </v>
      </c>
      <c r="W39" s="2" t="str">
        <f t="shared" si="6"/>
        <v xml:space="preserve"> </v>
      </c>
      <c r="Z39" s="2" t="str">
        <f t="shared" si="7"/>
        <v xml:space="preserve"> </v>
      </c>
      <c r="AA39" s="2" t="str">
        <f t="shared" si="7"/>
        <v xml:space="preserve"> </v>
      </c>
      <c r="AB39" s="2" t="str">
        <f t="shared" si="7"/>
        <v xml:space="preserve"> </v>
      </c>
      <c r="AC39" s="2" t="str">
        <f t="shared" si="8"/>
        <v xml:space="preserve"> </v>
      </c>
      <c r="AD39" s="2" t="str">
        <f t="shared" si="8"/>
        <v xml:space="preserve"> </v>
      </c>
      <c r="AG39" s="2" t="str">
        <f>IF(ISERROR(Z39*100000000/'Calc-Units'!$E$23)," ",Z39*100000000/'Calc-Units'!$E$23)</f>
        <v xml:space="preserve"> </v>
      </c>
      <c r="AH39" s="2" t="str">
        <f>IF(ISERROR(AA39*100000000/'Calc-Units'!$D$23)," ",AA39*100000000/'Calc-Units'!$D$23)</f>
        <v xml:space="preserve"> </v>
      </c>
      <c r="AI39" s="2" t="str">
        <f>IF(ISERROR(AB39*100000000/'Calc-Units'!$C$23)," ",AB39*100000000/'Calc-Units'!$C$23)</f>
        <v xml:space="preserve"> </v>
      </c>
      <c r="AJ39" s="2" t="str">
        <f>IF(ISERROR(AC39*100000000/'Calc-Units'!$C$23)," ",AC39*100000000/'Calc-Units'!$C$23)</f>
        <v xml:space="preserve"> </v>
      </c>
      <c r="AL39" s="2">
        <v>0</v>
      </c>
      <c r="AM39" s="2">
        <f t="shared" si="9"/>
        <v>0</v>
      </c>
      <c r="AN39" s="2">
        <f t="shared" si="10"/>
        <v>-2.7999999999999545</v>
      </c>
      <c r="AQ39" s="2" t="str">
        <f t="shared" si="11"/>
        <v xml:space="preserve"> </v>
      </c>
      <c r="AR39" s="2" t="str">
        <f t="shared" si="11"/>
        <v xml:space="preserve"> </v>
      </c>
      <c r="AS39" s="2" t="str">
        <f t="shared" si="11"/>
        <v xml:space="preserve"> </v>
      </c>
      <c r="AT39" s="2" t="str">
        <f t="shared" si="11"/>
        <v xml:space="preserve"> </v>
      </c>
      <c r="AU39" s="2" t="str">
        <f t="shared" si="11"/>
        <v xml:space="preserve"> </v>
      </c>
      <c r="AX39" s="2" t="str">
        <f>IF(ISERROR(AQ39*100000000/'Calc-Units'!$E$23)," ",AQ39*100000000/'Calc-Units'!$E$23)</f>
        <v xml:space="preserve"> </v>
      </c>
      <c r="AY39" s="2" t="str">
        <f>IF(ISERROR(AR39*100000000/'Calc-Units'!$D$23)," ",AR39*100000000/'Calc-Units'!$D$23)</f>
        <v xml:space="preserve"> </v>
      </c>
      <c r="AZ39" s="2" t="str">
        <f>IF(ISERROR(AS39*100000000/'Calc-Units'!$C$23)," ",AS39*100000000/'Calc-Units'!$C$23)</f>
        <v xml:space="preserve"> </v>
      </c>
      <c r="BA39" s="2" t="str">
        <f>IF(ISERROR(AT39*100000000/'Calc-Units'!$C$23)," ",AT39*100000000/'Calc-Units'!$C$23)</f>
        <v xml:space="preserve"> </v>
      </c>
    </row>
    <row r="40" spans="3:53">
      <c r="C40" s="2" t="s">
        <v>566</v>
      </c>
      <c r="D40" s="2">
        <f>SUM(D7:D39)</f>
        <v>209.00000000000009</v>
      </c>
      <c r="E40" s="2">
        <f>SUM(E7:E39)</f>
        <v>27.522655718000006</v>
      </c>
      <c r="F40" s="2">
        <f>SUM(F7:F39)</f>
        <v>21.504076485779446</v>
      </c>
      <c r="G40" s="2">
        <f>SUM(G7:G39)</f>
        <v>8.3999999999999986</v>
      </c>
      <c r="H40" s="2">
        <f>SUM(H7:H39)</f>
        <v>26.597795278873956</v>
      </c>
      <c r="I40" s="2">
        <f t="shared" si="5"/>
        <v>124.97547251734666</v>
      </c>
      <c r="R40" s="2" t="s">
        <v>220</v>
      </c>
      <c r="S40" s="2">
        <f>SUM(S7:S39)</f>
        <v>4.9339143254058735</v>
      </c>
      <c r="T40" s="2">
        <f>SUM(T7:T39)</f>
        <v>10.229093051973859</v>
      </c>
      <c r="U40" s="2">
        <f>SUM(U7:U39)</f>
        <v>2.6424363264762807</v>
      </c>
      <c r="V40" s="2">
        <f>SUM(V7:V39)</f>
        <v>7.1911015115672434</v>
      </c>
      <c r="Y40" s="2" t="s">
        <v>897</v>
      </c>
      <c r="Z40" s="2">
        <f>SUM(Z41:AD41)</f>
        <v>125.92452748265342</v>
      </c>
      <c r="AF40" s="2" t="s">
        <v>897</v>
      </c>
      <c r="AG40" s="2">
        <f>SUM(AG41:AJ41)</f>
        <v>0.64152516346413169</v>
      </c>
      <c r="AL40" s="2" t="s">
        <v>220</v>
      </c>
      <c r="AM40" s="2">
        <f>SUM(AM7:AM39)</f>
        <v>81.486339999999984</v>
      </c>
      <c r="AN40" s="2">
        <f>SUM(AN7:AN39)</f>
        <v>127.51366000000007</v>
      </c>
      <c r="AP40" s="2" t="s">
        <v>897</v>
      </c>
      <c r="AQ40" s="2">
        <f>SUM(AQ41:AU41)</f>
        <v>41.496660000000006</v>
      </c>
      <c r="AW40" s="2" t="s">
        <v>897</v>
      </c>
      <c r="AX40" s="2">
        <f>SUM(AX41:BA41)</f>
        <v>0.18938340615650856</v>
      </c>
    </row>
    <row r="41" spans="3:53" ht="20.25" customHeight="1">
      <c r="Y41" s="2" t="s">
        <v>898</v>
      </c>
      <c r="Z41" s="2">
        <f>SUM(Z7:Z39)</f>
        <v>32.456570043405883</v>
      </c>
      <c r="AA41" s="2">
        <f>SUM(AA7:AA39)</f>
        <v>31.733169537753302</v>
      </c>
      <c r="AB41" s="2">
        <f>SUM(AB7:AB39)</f>
        <v>11.042436326476276</v>
      </c>
      <c r="AC41" s="2">
        <f>SUM(AC7:AC39)</f>
        <v>15.129303132025239</v>
      </c>
      <c r="AD41" s="2">
        <f>SUM(AD7:AD39)</f>
        <v>35.563048442992709</v>
      </c>
      <c r="AF41" s="2" t="s">
        <v>898</v>
      </c>
      <c r="AG41" s="2">
        <f>SUM(AG7:AG39)</f>
        <v>0.19401568192200583</v>
      </c>
      <c r="AH41" s="2">
        <f>SUM(AH7:AH39)</f>
        <v>0.21751519842715819</v>
      </c>
      <c r="AI41" s="2">
        <f>SUM(AI7:AI39)</f>
        <v>9.7039680177834139E-2</v>
      </c>
      <c r="AJ41" s="2">
        <f>SUM(AJ7:AJ39)</f>
        <v>0.13295460293713357</v>
      </c>
      <c r="AP41" s="2" t="s">
        <v>898</v>
      </c>
      <c r="AQ41" s="2">
        <f>SUM(AQ7:AQ39)</f>
        <v>5.5187736241594401</v>
      </c>
      <c r="AR41" s="2">
        <f>SUM(AR7:AR39)</f>
        <v>10.22868162443641</v>
      </c>
      <c r="AS41" s="2">
        <f>SUM(AS7:AS39)</f>
        <v>3.0408061312373889</v>
      </c>
      <c r="AT41" s="2">
        <f>SUM(AT7:AT39)</f>
        <v>6.7773980826070019</v>
      </c>
      <c r="AU41" s="2">
        <f>SUM(AU7:AU39)</f>
        <v>15.931000537559767</v>
      </c>
      <c r="AW41" s="2" t="s">
        <v>898</v>
      </c>
      <c r="AX41" s="2">
        <f>SUM(AX7:AX39)</f>
        <v>3.2989580434178094E-2</v>
      </c>
      <c r="AY41" s="2">
        <f>SUM(AY7:AY39)</f>
        <v>7.0112558738909786E-2</v>
      </c>
      <c r="AZ41" s="2">
        <f>SUM(AZ7:AZ39)</f>
        <v>2.6722259991716436E-2</v>
      </c>
      <c r="BA41" s="2">
        <f>SUM(BA7:BA39)</f>
        <v>5.9559006991704237E-2</v>
      </c>
    </row>
    <row r="42" spans="3:53" ht="20.25" customHeight="1">
      <c r="Y42" s="2" t="s">
        <v>899</v>
      </c>
      <c r="Z42" s="2">
        <f>Z41/$Z$40</f>
        <v>0.2577462126897947</v>
      </c>
      <c r="AA42" s="2">
        <f>AA41/$Z$40</f>
        <v>0.25200149781879999</v>
      </c>
      <c r="AB42" s="2">
        <f>AB41/$Z$40</f>
        <v>8.7690909366306052E-2</v>
      </c>
      <c r="AC42" s="2">
        <f>AC41/$Z$40</f>
        <v>0.12014580030176693</v>
      </c>
      <c r="AD42" s="2">
        <f>AD41/$Z$40</f>
        <v>0.28241557982333232</v>
      </c>
      <c r="AF42" s="2" t="s">
        <v>899</v>
      </c>
      <c r="AG42" s="2">
        <f>AG41/$AG$40</f>
        <v>0.30242879464673322</v>
      </c>
      <c r="AH42" s="2">
        <f>AH41/$AG$40</f>
        <v>0.3390594957376441</v>
      </c>
      <c r="AI42" s="2">
        <f>AI41/$AG$40</f>
        <v>0.15126402782680515</v>
      </c>
      <c r="AJ42" s="2">
        <f>AJ41/$AG$40</f>
        <v>0.20724768178881761</v>
      </c>
      <c r="AP42" s="2" t="s">
        <v>899</v>
      </c>
      <c r="AQ42" s="2">
        <f>AQ41/$AQ$40</f>
        <v>0.13299320051684738</v>
      </c>
      <c r="AR42" s="2">
        <f>AR41/$AQ$40</f>
        <v>0.24649409433039693</v>
      </c>
      <c r="AS42" s="2">
        <f>AS41/$AQ$40</f>
        <v>7.3278334478904777E-2</v>
      </c>
      <c r="AT42" s="2">
        <f>AT41/$AQ$40</f>
        <v>0.16332394179693019</v>
      </c>
      <c r="AU42" s="2">
        <f>AU41/$AQ$40</f>
        <v>0.38391042887692078</v>
      </c>
      <c r="AW42" s="2" t="s">
        <v>899</v>
      </c>
      <c r="AX42" s="2">
        <f>AX41/$AX$40</f>
        <v>0.17419467261516638</v>
      </c>
      <c r="AY42" s="2">
        <f>AY41/$AX$40</f>
        <v>0.37021489982584843</v>
      </c>
      <c r="AZ42" s="2">
        <f>AZ41/$AX$40</f>
        <v>0.14110138017917401</v>
      </c>
      <c r="BA42" s="2">
        <f>BA41/$AX$40</f>
        <v>0.31448904737981115</v>
      </c>
    </row>
    <row r="43" spans="3:53">
      <c r="K43" s="2" t="s">
        <v>900</v>
      </c>
      <c r="L43" s="2">
        <v>6</v>
      </c>
      <c r="M43" s="2">
        <v>5</v>
      </c>
      <c r="N43" s="2">
        <v>4</v>
      </c>
      <c r="O43" s="2">
        <v>3</v>
      </c>
      <c r="P43" s="2">
        <v>2</v>
      </c>
      <c r="AQ43" s="2" t="s">
        <v>901</v>
      </c>
    </row>
    <row r="45" spans="3:53">
      <c r="Y45" s="2" t="s">
        <v>902</v>
      </c>
    </row>
    <row r="47" spans="3:53">
      <c r="Y47" s="2" t="s">
        <v>903</v>
      </c>
      <c r="Z47" s="2">
        <f>SUMIF(Z7:Z12,"&gt;0",Z7:Z12)+SUMIF(Z28:Z39,"&gt;0",Z28:Z39)</f>
        <v>28.193856473484814</v>
      </c>
      <c r="AA47" s="2">
        <f>SUMIF(AA7:AA12,"&gt;0",AA7:AA12)+SUMIF(AA28:AA39,"&gt;0",AA28:AA39)</f>
        <v>22.89562375060644</v>
      </c>
      <c r="AB47" s="2">
        <f>SUMIF(AB7:AB12,"&gt;0",AB7:AB12)+SUMIF(AB28:AB39,"&gt;0",AB28:AB39)</f>
        <v>8.7594722448905671</v>
      </c>
      <c r="AC47" s="2">
        <f>SUMIF(AC7:AC12,"&gt;0",AC7:AC12)+SUMIF(AC28:AC39,"&gt;0",AC28:AC39)</f>
        <v>8.9164660265661873</v>
      </c>
      <c r="AD47" s="2">
        <f>SUMIF(AD7:AD12,"&gt;0",AD7:AD12)+SUMIF(AD28:AD39,"&gt;0",AD28:AD39)</f>
        <v>20.959108987105402</v>
      </c>
    </row>
    <row r="48" spans="3:53">
      <c r="Y48" s="2" t="s">
        <v>904</v>
      </c>
      <c r="Z48" s="2">
        <f>SUMIF(Z13:Z28,"&gt;0",Z13:Z28)</f>
        <v>4.2627135699210648</v>
      </c>
      <c r="AA48" s="2">
        <f>SUMIF(AA13:AA28,"&gt;0",AA13:AA28)</f>
        <v>8.8375457871468637</v>
      </c>
      <c r="AB48" s="2">
        <f>SUMIF(AB13:AB28,"&gt;0",AB13:AB28)</f>
        <v>2.2829640815857126</v>
      </c>
      <c r="AC48" s="2">
        <f>SUMIF(AC13:AC28,"&gt;0",AC13:AC28)</f>
        <v>6.2128371054590499</v>
      </c>
      <c r="AD48" s="2">
        <f>SUMIF(AD13:AD28,"&gt;0",AD13:AD28)</f>
        <v>14.603939455887311</v>
      </c>
    </row>
    <row r="49" spans="25:30">
      <c r="Y49" s="2" t="s">
        <v>905</v>
      </c>
      <c r="Z49" s="2">
        <f>Z47/(Z48+Z47)</f>
        <v>0.86866407743577612</v>
      </c>
      <c r="AA49" s="2">
        <f>AA47/(AA48+AA47)</f>
        <v>0.72150447257930728</v>
      </c>
      <c r="AB49" s="2">
        <f>AB47/(AB48+AB47)</f>
        <v>0.79325539997800265</v>
      </c>
      <c r="AC49" s="2">
        <f>AC47/(AC48+AC47)</f>
        <v>0.58935074198441373</v>
      </c>
      <c r="AD49" s="2">
        <f>AD47/(AD48+AD47)</f>
        <v>0.58935074198441373</v>
      </c>
    </row>
    <row r="50" spans="25:30">
      <c r="Y50" s="2" t="s">
        <v>906</v>
      </c>
      <c r="Z50" s="2">
        <f>Z48/(Z47+Z48)</f>
        <v>0.13133592256422394</v>
      </c>
      <c r="AA50" s="2">
        <f>AA48/(AA47+AA48)</f>
        <v>0.27849552742069261</v>
      </c>
      <c r="AB50" s="2">
        <f>AB48/(AB47+AB48)</f>
        <v>0.2067446000219974</v>
      </c>
      <c r="AC50" s="2">
        <f>AC48/(AC47+AC48)</f>
        <v>0.41064925801558633</v>
      </c>
      <c r="AD50" s="2">
        <f>AD48/(AD47+AD48)</f>
        <v>0.41064925801558638</v>
      </c>
    </row>
  </sheetData>
  <sheetProtection sheet="1" objects="1" scenarios="1"/>
  <phoneticPr fontId="1"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C4"/>
    <pageSetUpPr fitToPage="1"/>
  </sheetPr>
  <dimension ref="A1:I32"/>
  <sheetViews>
    <sheetView showGridLines="0" workbookViewId="0"/>
  </sheetViews>
  <sheetFormatPr defaultColWidth="8.85546875" defaultRowHeight="15"/>
  <cols>
    <col min="1" max="1" width="8.85546875" style="2" customWidth="1"/>
    <col min="2" max="2" width="19.42578125" style="2" customWidth="1"/>
    <col min="3" max="8" width="12.140625" style="2" customWidth="1"/>
    <col min="9" max="9" width="43" style="2" customWidth="1"/>
    <col min="10" max="10" width="9.28515625" style="2" bestFit="1" customWidth="1"/>
    <col min="11" max="16384" width="8.85546875" style="2"/>
  </cols>
  <sheetData>
    <row r="1" spans="1:9" ht="19.5">
      <c r="A1" s="4" t="str">
        <f>"Calc-Drivers for Method M ("&amp;'Calc-Net capex'!B5&amp;") for "&amp;Inputs!B6&amp;" in "&amp;Inputs!C6&amp;"  Status: "&amp;Inputs!D6&amp;""</f>
        <v>Calc-Drivers for Method M (LR1) for Northern Powergrid (Yorkshire) in 2017/18  Status: April 2017 - Final Charges</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c r="A14" s="2" t="s">
        <v>907</v>
      </c>
    </row>
    <row r="16" spans="1:9">
      <c r="B16" s="2" t="s">
        <v>908</v>
      </c>
      <c r="C16" s="2" t="s">
        <v>891</v>
      </c>
      <c r="D16" s="2" t="s">
        <v>466</v>
      </c>
      <c r="E16" s="2" t="s">
        <v>550</v>
      </c>
      <c r="F16" s="2" t="s">
        <v>245</v>
      </c>
      <c r="G16" s="2" t="s">
        <v>427</v>
      </c>
      <c r="H16" s="2" t="s">
        <v>220</v>
      </c>
      <c r="I16" s="2" t="s">
        <v>909</v>
      </c>
    </row>
    <row r="17" spans="2:9" ht="15" customHeight="1">
      <c r="B17" s="2" t="s">
        <v>910</v>
      </c>
      <c r="C17" s="2">
        <f>'Calc-Net capex'!H6*SUM('FBPQ NL1'!D10:M13)/SUM('FBPQ NL1'!D10:M16)</f>
        <v>5.6496147980506381E-2</v>
      </c>
      <c r="D17" s="2">
        <f>'Calc-Net capex'!H6*SUM('FBPQ NL1'!D14:M16)/SUM('FBPQ NL1'!D10:M16)</f>
        <v>0.17353988080053689</v>
      </c>
      <c r="E17" s="2">
        <f>'Calc-Net capex'!H7</f>
        <v>0.10861090913673016</v>
      </c>
      <c r="F17" s="2">
        <f>'Calc-Net capex'!H8</f>
        <v>0.24824652525999713</v>
      </c>
      <c r="G17" s="2">
        <f>'Calc-Net capex'!H9+'Calc-Net capex'!H10</f>
        <v>0.41310653682222936</v>
      </c>
      <c r="I17" s="2" t="s">
        <v>911</v>
      </c>
    </row>
    <row r="18" spans="2:9" ht="15" customHeight="1">
      <c r="B18" s="2" t="s">
        <v>912</v>
      </c>
      <c r="C18" s="2">
        <v>1</v>
      </c>
      <c r="D18" s="2">
        <v>0</v>
      </c>
      <c r="E18" s="2">
        <v>0</v>
      </c>
      <c r="F18" s="2">
        <v>0</v>
      </c>
      <c r="G18" s="2">
        <v>0</v>
      </c>
      <c r="H18" s="2">
        <f t="shared" ref="H18:H27" si="0">SUM(C18:G18)</f>
        <v>1</v>
      </c>
      <c r="I18" s="2" t="s">
        <v>913</v>
      </c>
    </row>
    <row r="19" spans="2:9" ht="15" customHeight="1">
      <c r="B19" s="2" t="s">
        <v>914</v>
      </c>
      <c r="D19" s="2">
        <f>'RRP 5.1'!$G$64/'RRP 5.1'!$G$65</f>
        <v>0.46155111003177296</v>
      </c>
      <c r="E19" s="2">
        <v>0</v>
      </c>
      <c r="F19" s="2">
        <f>'RRP 5.1'!$G$63/'RRP 5.1'!$G$65</f>
        <v>0.46312711229838294</v>
      </c>
      <c r="G19" s="2">
        <f>('RRP 5.1'!$G$61+'RRP 5.1'!$G$62)/'RRP 5.1'!$G$65</f>
        <v>7.5321777669843964E-2</v>
      </c>
      <c r="H19" s="2">
        <f t="shared" si="0"/>
        <v>0.99999999999999989</v>
      </c>
      <c r="I19" s="2" t="s">
        <v>915</v>
      </c>
    </row>
    <row r="20" spans="2:9" ht="15" customHeight="1">
      <c r="B20" s="2" t="s">
        <v>916</v>
      </c>
      <c r="D20" s="2">
        <f>0/'RRP 5.1'!$G$73</f>
        <v>0</v>
      </c>
      <c r="E20" s="2">
        <v>0</v>
      </c>
      <c r="F20" s="2">
        <f>('RRP 5.1'!$G$71+'RRP 5.1'!$G$72)/'RRP 5.1'!$G$73</f>
        <v>0.99039521335222802</v>
      </c>
      <c r="G20" s="2">
        <f>('RRP 5.1'!$G$68+'RRP 5.1'!$G$69+'RRP 5.1'!$G$70)/'RRP 5.1'!$G$73</f>
        <v>9.604786647772005E-3</v>
      </c>
      <c r="H20" s="2">
        <f t="shared" si="0"/>
        <v>1</v>
      </c>
      <c r="I20" s="2" t="s">
        <v>915</v>
      </c>
    </row>
    <row r="21" spans="2:9" ht="15" customHeight="1">
      <c r="B21" s="2" t="s">
        <v>563</v>
      </c>
      <c r="D21" s="2">
        <v>0</v>
      </c>
      <c r="E21" s="2">
        <v>0</v>
      </c>
      <c r="F21" s="2">
        <v>0</v>
      </c>
      <c r="G21" s="2">
        <v>1</v>
      </c>
      <c r="H21" s="2">
        <f t="shared" si="0"/>
        <v>1</v>
      </c>
      <c r="I21" s="2" t="s">
        <v>913</v>
      </c>
    </row>
    <row r="22" spans="2:9" ht="15" customHeight="1">
      <c r="B22" s="2" t="s">
        <v>893</v>
      </c>
      <c r="C22" s="2">
        <f>'Calc-MEAV'!H6*(('Data-MEAV'!I21+'Data-MEAV'!I30)/'Calc-MEAV'!G6)</f>
        <v>0.40342374187534008</v>
      </c>
      <c r="D22" s="2">
        <f>'Calc-MEAV'!H6*(('Calc-MEAV'!G6-'Data-MEAV'!I21-'Data-MEAV'!I30)/'Calc-MEAV'!G6)</f>
        <v>0.17162533440494615</v>
      </c>
      <c r="E22" s="2">
        <f>'Calc-MEAV'!H7</f>
        <v>6.3065306121152284E-2</v>
      </c>
      <c r="F22" s="2">
        <f>'Calc-MEAV'!H8</f>
        <v>0.24413109909245481</v>
      </c>
      <c r="G22" s="2">
        <f>'Calc-MEAV'!H9+'Calc-MEAV'!H10</f>
        <v>0.11775451850610677</v>
      </c>
      <c r="H22" s="2">
        <f t="shared" si="0"/>
        <v>1</v>
      </c>
      <c r="I22" s="2" t="s">
        <v>917</v>
      </c>
    </row>
    <row r="23" spans="2:9" ht="15" customHeight="1"/>
    <row r="24" spans="2:9" ht="15" customHeight="1"/>
    <row r="25" spans="2:9" ht="15" customHeight="1">
      <c r="B25" s="2" t="s">
        <v>918</v>
      </c>
      <c r="D25" s="2">
        <v>0</v>
      </c>
      <c r="E25" s="2">
        <v>0</v>
      </c>
      <c r="F25" s="2">
        <v>0</v>
      </c>
      <c r="G25" s="2">
        <v>1</v>
      </c>
      <c r="H25" s="2">
        <f t="shared" si="0"/>
        <v>1</v>
      </c>
      <c r="I25" s="2" t="s">
        <v>913</v>
      </c>
    </row>
    <row r="26" spans="2:9" ht="15" customHeight="1">
      <c r="B26" s="2" t="s">
        <v>919</v>
      </c>
      <c r="D26" s="2">
        <v>1</v>
      </c>
      <c r="E26" s="2">
        <v>0</v>
      </c>
      <c r="F26" s="2">
        <v>0</v>
      </c>
      <c r="G26" s="2">
        <v>0</v>
      </c>
      <c r="H26" s="2">
        <f t="shared" si="0"/>
        <v>1</v>
      </c>
      <c r="I26" s="2" t="s">
        <v>913</v>
      </c>
    </row>
    <row r="27" spans="2:9" ht="15" customHeight="1">
      <c r="B27" s="2" t="s">
        <v>920</v>
      </c>
      <c r="D27" s="2">
        <v>0</v>
      </c>
      <c r="E27" s="2">
        <v>0</v>
      </c>
      <c r="F27" s="2">
        <v>1</v>
      </c>
      <c r="G27" s="2">
        <v>0</v>
      </c>
      <c r="H27" s="2">
        <f t="shared" si="0"/>
        <v>1</v>
      </c>
      <c r="I27" s="2" t="s">
        <v>913</v>
      </c>
    </row>
    <row r="31" spans="2:9" s="30" customFormat="1" ht="120">
      <c r="B31" s="30" t="s">
        <v>908</v>
      </c>
      <c r="C31" s="30" t="s">
        <v>921</v>
      </c>
      <c r="D31" s="30" t="s">
        <v>922</v>
      </c>
      <c r="E31" s="30" t="s">
        <v>923</v>
      </c>
      <c r="F31" s="30" t="s">
        <v>909</v>
      </c>
    </row>
    <row r="32" spans="2:9">
      <c r="B32" s="2" t="s">
        <v>924</v>
      </c>
      <c r="C32" s="3">
        <f>Inputs!B35</f>
        <v>133767098.93453099</v>
      </c>
      <c r="D32" s="2">
        <f>SUM(Inputs!C30:G30)</f>
        <v>1318412877.0973628</v>
      </c>
      <c r="E32" s="3">
        <f>D32/(C32+D32)</f>
        <v>0.90788531646053139</v>
      </c>
      <c r="F32" s="2" t="s">
        <v>925</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C4"/>
    <pageSetUpPr fitToPage="1"/>
  </sheetPr>
  <dimension ref="A1:S83"/>
  <sheetViews>
    <sheetView showGridLines="0" workbookViewId="0"/>
  </sheetViews>
  <sheetFormatPr defaultColWidth="8.85546875" defaultRowHeight="15"/>
  <cols>
    <col min="1" max="1" width="8.85546875" style="2" customWidth="1"/>
    <col min="2" max="2" width="32" style="2" customWidth="1"/>
    <col min="3" max="3" width="8.85546875" style="2" customWidth="1"/>
    <col min="4" max="4" width="18.7109375" style="2" customWidth="1"/>
    <col min="5" max="8" width="8.85546875" style="2" customWidth="1"/>
    <col min="9" max="9" width="12" style="2" customWidth="1"/>
    <col min="10" max="10" width="9.7109375" style="2" customWidth="1"/>
    <col min="11" max="11" width="8.85546875" style="2" customWidth="1"/>
    <col min="12" max="12" width="12.85546875" style="2" customWidth="1"/>
    <col min="13" max="13" width="14.85546875" style="2" customWidth="1"/>
    <col min="14" max="15" width="12.85546875" style="2" customWidth="1"/>
    <col min="16" max="16" width="9.28515625" style="2" bestFit="1" customWidth="1"/>
    <col min="17" max="17" width="8.85546875" style="2" customWidth="1"/>
    <col min="18" max="18" width="9.28515625" style="2" bestFit="1" customWidth="1"/>
    <col min="19" max="19" width="10.42578125" style="2" bestFit="1" customWidth="1"/>
    <col min="20" max="40" width="8.85546875" style="2" customWidth="1"/>
    <col min="41" max="44" width="10.28515625" style="2" bestFit="1" customWidth="1"/>
    <col min="45" max="45" width="9.42578125" style="2" bestFit="1" customWidth="1"/>
    <col min="46" max="16384" width="8.85546875" style="2"/>
  </cols>
  <sheetData>
    <row r="1" spans="1:19" ht="19.5">
      <c r="A1" s="4" t="str">
        <f>"DNO Final Allocation for Method M ("&amp;'Calc-Net capex'!B5&amp;") for "&amp;Inputs!B6&amp;" in "&amp;Inputs!C6&amp;"  Status: "&amp;Inputs!D6&amp;""</f>
        <v>DNO Final Allocation for Method M (LR1) for Northern Powergrid (Yorkshire) in 2017/18  Status: April 2017 - Final Charges</v>
      </c>
    </row>
    <row r="3" spans="1:19">
      <c r="A3" s="2" t="s">
        <v>926</v>
      </c>
    </row>
    <row r="6" spans="1:19">
      <c r="B6" s="2" t="s">
        <v>927</v>
      </c>
      <c r="L6" s="2" t="s">
        <v>928</v>
      </c>
    </row>
    <row r="8" spans="1:19">
      <c r="D8" s="2" t="s">
        <v>99</v>
      </c>
      <c r="E8" s="2" t="s">
        <v>100</v>
      </c>
      <c r="G8" s="2" t="s">
        <v>101</v>
      </c>
      <c r="H8" s="2" t="s">
        <v>102</v>
      </c>
      <c r="I8" s="2" t="s">
        <v>64</v>
      </c>
      <c r="O8" s="2" t="s">
        <v>99</v>
      </c>
      <c r="P8" s="2" t="s">
        <v>100</v>
      </c>
      <c r="Q8" s="2" t="s">
        <v>101</v>
      </c>
      <c r="R8" s="2" t="s">
        <v>102</v>
      </c>
      <c r="S8" s="2" t="s">
        <v>64</v>
      </c>
    </row>
    <row r="9" spans="1:19">
      <c r="L9" s="2" t="s">
        <v>66</v>
      </c>
      <c r="O9" s="2">
        <f>'Allowed revenue -DPCR4'!D3</f>
        <v>596.6</v>
      </c>
      <c r="P9" s="2">
        <f>'Allowed revenue -DPCR4'!E3</f>
        <v>624.6</v>
      </c>
      <c r="Q9" s="2">
        <f>'Allowed revenue -DPCR4'!F3</f>
        <v>648.9</v>
      </c>
      <c r="R9" s="2">
        <f>'Allowed revenue -DPCR4'!G3</f>
        <v>669.5</v>
      </c>
      <c r="S9" s="2">
        <f>'Allowed revenue -DPCR4'!H3</f>
        <v>686.5</v>
      </c>
    </row>
    <row r="10" spans="1:19">
      <c r="B10" s="2" t="s">
        <v>929</v>
      </c>
      <c r="D10" s="2">
        <f>O35</f>
        <v>152.6857905347577</v>
      </c>
      <c r="E10" s="2">
        <f>P35</f>
        <v>154.8233916022443</v>
      </c>
      <c r="G10" s="2">
        <f>Q35</f>
        <v>156.96099266973093</v>
      </c>
      <c r="H10" s="2">
        <f>R35</f>
        <v>159.09859373721753</v>
      </c>
      <c r="I10" s="2">
        <f>S35</f>
        <v>161.23619480470413</v>
      </c>
      <c r="L10" s="2" t="s">
        <v>68</v>
      </c>
      <c r="O10" s="2">
        <f>'Allowed revenue -DPCR4'!D4</f>
        <v>72.3</v>
      </c>
      <c r="P10" s="2">
        <f>'Allowed revenue -DPCR4'!E4</f>
        <v>72.3</v>
      </c>
      <c r="Q10" s="2">
        <f>'Allowed revenue -DPCR4'!F4</f>
        <v>72.3</v>
      </c>
      <c r="R10" s="2">
        <f>'Allowed revenue -DPCR4'!G4</f>
        <v>72.2</v>
      </c>
      <c r="S10" s="2">
        <f>'Allowed revenue -DPCR4'!H4</f>
        <v>72.2</v>
      </c>
    </row>
    <row r="11" spans="1:19">
      <c r="L11" s="2" t="s">
        <v>69</v>
      </c>
      <c r="O11" s="2">
        <f>'Allowed revenue -DPCR4'!D5</f>
        <v>-44.4</v>
      </c>
      <c r="P11" s="2">
        <f>'Allowed revenue -DPCR4'!E5</f>
        <v>-48</v>
      </c>
      <c r="Q11" s="2">
        <f>'Allowed revenue -DPCR4'!F5</f>
        <v>-51.6</v>
      </c>
      <c r="R11" s="2">
        <f>'Allowed revenue -DPCR4'!G5</f>
        <v>-55.2</v>
      </c>
      <c r="S11" s="2">
        <f>'Allowed revenue -DPCR4'!H5</f>
        <v>-58.8</v>
      </c>
    </row>
    <row r="12" spans="1:19">
      <c r="B12" s="2" t="s">
        <v>930</v>
      </c>
      <c r="D12" s="2">
        <f>O16+(1-0.577)*O18</f>
        <v>53.660199999999996</v>
      </c>
      <c r="E12" s="2">
        <f>P16+(1-0.577)*P18</f>
        <v>55.002500000000005</v>
      </c>
      <c r="G12" s="2">
        <f>Q16+(1-0.577)*Q18</f>
        <v>54.687100000000001</v>
      </c>
      <c r="H12" s="2">
        <f>R16+(1-0.577)*R18</f>
        <v>54.271700000000003</v>
      </c>
      <c r="I12" s="2">
        <f>S16+(1-0.577)*S18</f>
        <v>53.914000000000001</v>
      </c>
      <c r="L12" s="2" t="s">
        <v>70</v>
      </c>
      <c r="O12" s="2">
        <f>'Allowed revenue -DPCR4'!D6</f>
        <v>624.6</v>
      </c>
      <c r="P12" s="2">
        <f>'Allowed revenue -DPCR4'!E6</f>
        <v>648.9</v>
      </c>
      <c r="Q12" s="2">
        <f>'Allowed revenue -DPCR4'!F6</f>
        <v>669.5</v>
      </c>
      <c r="R12" s="2">
        <f>'Allowed revenue -DPCR4'!G6</f>
        <v>686.5</v>
      </c>
      <c r="S12" s="2">
        <f>'Allowed revenue -DPCR4'!H6</f>
        <v>699.9</v>
      </c>
    </row>
    <row r="13" spans="1:19">
      <c r="B13" s="2" t="s">
        <v>931</v>
      </c>
      <c r="D13" s="2" t="str">
        <f>O22</f>
        <v/>
      </c>
      <c r="E13" s="2" t="str">
        <f>P22</f>
        <v/>
      </c>
      <c r="F13" s="2" t="str">
        <f>Q22</f>
        <v/>
      </c>
      <c r="G13" s="2" t="str">
        <f>Q22</f>
        <v/>
      </c>
      <c r="H13" s="2" t="str">
        <f>R22</f>
        <v/>
      </c>
      <c r="I13" s="2" t="str">
        <f>S22</f>
        <v/>
      </c>
      <c r="L13" s="2" t="s">
        <v>932</v>
      </c>
      <c r="O13" s="2">
        <f>'Allowed revenue -DPCR4'!D7</f>
        <v>596.6</v>
      </c>
      <c r="Q13" s="2" t="str">
        <f>'Allowed revenue -DPCR4'!F7</f>
        <v xml:space="preserve"> </v>
      </c>
      <c r="S13" s="2">
        <f>'Allowed revenue -DPCR4'!H7</f>
        <v>534.4</v>
      </c>
    </row>
    <row r="14" spans="1:19">
      <c r="B14" s="2" t="s">
        <v>82</v>
      </c>
      <c r="D14" s="2">
        <f>O23</f>
        <v>1.8</v>
      </c>
      <c r="L14" s="2" t="s">
        <v>85</v>
      </c>
      <c r="P14" s="2" t="str">
        <f>'Allowed revenue -DPCR4'!E8</f>
        <v xml:space="preserve"> </v>
      </c>
      <c r="S14" s="2">
        <f>'Allowed revenue -DPCR4'!H8</f>
        <v>62.2</v>
      </c>
    </row>
    <row r="15" spans="1:19">
      <c r="B15" s="2" t="s">
        <v>933</v>
      </c>
      <c r="D15" s="2">
        <f>SUM(D12:D14)</f>
        <v>55.460199999999993</v>
      </c>
      <c r="E15" s="2">
        <f>SUM(E12:E14)</f>
        <v>55.002500000000005</v>
      </c>
      <c r="G15" s="2">
        <f>SUM(G12:G14)</f>
        <v>54.687100000000001</v>
      </c>
      <c r="H15" s="2">
        <f>SUM(H12:H14)</f>
        <v>54.271700000000003</v>
      </c>
      <c r="I15" s="2">
        <f>SUM(I12:I14)</f>
        <v>53.914000000000001</v>
      </c>
    </row>
    <row r="16" spans="1:19">
      <c r="L16" s="2" t="s">
        <v>934</v>
      </c>
      <c r="O16" s="2">
        <f>'Allowed revenue -DPCR4'!D10</f>
        <v>46.3</v>
      </c>
      <c r="P16" s="2">
        <f>'Allowed revenue -DPCR4'!E10</f>
        <v>47.6</v>
      </c>
      <c r="Q16" s="2">
        <f>'Allowed revenue -DPCR4'!F10</f>
        <v>47.2</v>
      </c>
      <c r="R16" s="2">
        <f>'Allowed revenue -DPCR4'!G10</f>
        <v>46.7</v>
      </c>
      <c r="S16" s="2">
        <f>'Allowed revenue -DPCR4'!H10</f>
        <v>46.3</v>
      </c>
    </row>
    <row r="17" spans="2:19">
      <c r="B17" s="2" t="s">
        <v>935</v>
      </c>
      <c r="L17" s="2" t="s">
        <v>936</v>
      </c>
      <c r="O17" s="2">
        <f>'Allowed revenue -DPCR4'!D11</f>
        <v>62.3</v>
      </c>
      <c r="P17" s="2">
        <f>'Allowed revenue -DPCR4'!E11</f>
        <v>62.2</v>
      </c>
      <c r="Q17" s="2">
        <f>'Allowed revenue -DPCR4'!F11</f>
        <v>62.1</v>
      </c>
      <c r="R17" s="2">
        <f>'Allowed revenue -DPCR4'!G11</f>
        <v>61.9</v>
      </c>
      <c r="S17" s="2">
        <f>'Allowed revenue -DPCR4'!H11</f>
        <v>61.8</v>
      </c>
    </row>
    <row r="18" spans="2:19">
      <c r="B18" s="2" t="s">
        <v>69</v>
      </c>
      <c r="D18" s="2">
        <f>-O11</f>
        <v>44.4</v>
      </c>
      <c r="E18" s="2">
        <f>-P11</f>
        <v>48</v>
      </c>
      <c r="G18" s="2">
        <f>-Q11</f>
        <v>51.6</v>
      </c>
      <c r="H18" s="2">
        <f>-R11</f>
        <v>55.2</v>
      </c>
      <c r="I18" s="2">
        <f>-S11</f>
        <v>58.8</v>
      </c>
      <c r="L18" s="2" t="s">
        <v>937</v>
      </c>
      <c r="O18" s="2">
        <f>'Allowed revenue -DPCR4'!D12</f>
        <v>17.399999999999999</v>
      </c>
      <c r="P18" s="2">
        <f>'Allowed revenue -DPCR4'!E12</f>
        <v>17.5</v>
      </c>
      <c r="Q18" s="2">
        <f>'Allowed revenue -DPCR4'!F12</f>
        <v>17.7</v>
      </c>
      <c r="R18" s="2">
        <f>'Allowed revenue -DPCR4'!G12</f>
        <v>17.899999999999999</v>
      </c>
      <c r="S18" s="2">
        <f>'Allowed revenue -DPCR4'!H12</f>
        <v>18</v>
      </c>
    </row>
    <row r="19" spans="2:19">
      <c r="B19" s="2" t="s">
        <v>77</v>
      </c>
      <c r="D19" s="2">
        <f t="shared" ref="D19:E21" si="0">O19</f>
        <v>13.1</v>
      </c>
      <c r="E19" s="2">
        <f t="shared" si="0"/>
        <v>13.6</v>
      </c>
      <c r="G19" s="2">
        <f t="shared" ref="G19:I21" si="1">Q19</f>
        <v>13.9</v>
      </c>
      <c r="H19" s="2">
        <f t="shared" si="1"/>
        <v>14.4</v>
      </c>
      <c r="I19" s="2">
        <f t="shared" si="1"/>
        <v>14.8</v>
      </c>
      <c r="L19" s="2" t="s">
        <v>77</v>
      </c>
      <c r="O19" s="2">
        <f>'Allowed revenue -DPCR4'!D13</f>
        <v>13.1</v>
      </c>
      <c r="P19" s="2">
        <f>'Allowed revenue -DPCR4'!E13</f>
        <v>13.6</v>
      </c>
      <c r="Q19" s="2">
        <f>'Allowed revenue -DPCR4'!F13</f>
        <v>13.9</v>
      </c>
      <c r="R19" s="2">
        <f>'Allowed revenue -DPCR4'!G13</f>
        <v>14.4</v>
      </c>
      <c r="S19" s="2">
        <f>'Allowed revenue -DPCR4'!H13</f>
        <v>14.8</v>
      </c>
    </row>
    <row r="20" spans="2:19">
      <c r="B20" s="2" t="s">
        <v>938</v>
      </c>
      <c r="D20" s="2">
        <f t="shared" si="0"/>
        <v>2.4</v>
      </c>
      <c r="E20" s="2">
        <f t="shared" si="0"/>
        <v>2</v>
      </c>
      <c r="G20" s="2">
        <f t="shared" si="1"/>
        <v>1.7</v>
      </c>
      <c r="H20" s="2">
        <f t="shared" si="1"/>
        <v>1.1000000000000001</v>
      </c>
      <c r="I20" s="2">
        <f t="shared" si="1"/>
        <v>0.6</v>
      </c>
      <c r="L20" s="2" t="s">
        <v>939</v>
      </c>
      <c r="O20" s="2">
        <f>'Allowed revenue -DPCR4'!D14</f>
        <v>2.4</v>
      </c>
      <c r="P20" s="2">
        <f>'Allowed revenue -DPCR4'!E14</f>
        <v>2</v>
      </c>
      <c r="Q20" s="2">
        <f>'Allowed revenue -DPCR4'!F14</f>
        <v>1.7</v>
      </c>
      <c r="R20" s="2">
        <f>'Allowed revenue -DPCR4'!G14</f>
        <v>1.1000000000000001</v>
      </c>
      <c r="S20" s="2">
        <f>'Allowed revenue -DPCR4'!H14</f>
        <v>0.6</v>
      </c>
    </row>
    <row r="21" spans="2:19">
      <c r="B21" s="2" t="s">
        <v>940</v>
      </c>
      <c r="D21" s="2">
        <f t="shared" si="0"/>
        <v>1.1000000000000001</v>
      </c>
      <c r="E21" s="2">
        <f t="shared" si="0"/>
        <v>1.2</v>
      </c>
      <c r="G21" s="2">
        <f t="shared" si="1"/>
        <v>1.2</v>
      </c>
      <c r="H21" s="2">
        <f t="shared" si="1"/>
        <v>1.2</v>
      </c>
      <c r="I21" s="2">
        <f t="shared" si="1"/>
        <v>1.3</v>
      </c>
      <c r="L21" s="2" t="s">
        <v>941</v>
      </c>
      <c r="O21" s="2">
        <f>'Allowed revenue -DPCR4'!D15</f>
        <v>1.1000000000000001</v>
      </c>
      <c r="P21" s="2">
        <f>'Allowed revenue -DPCR4'!E15</f>
        <v>1.2</v>
      </c>
      <c r="Q21" s="2">
        <f>'Allowed revenue -DPCR4'!F15</f>
        <v>1.2</v>
      </c>
      <c r="R21" s="2">
        <f>'Allowed revenue -DPCR4'!G15</f>
        <v>1.2</v>
      </c>
      <c r="S21" s="2">
        <f>'Allowed revenue -DPCR4'!H15</f>
        <v>1.3</v>
      </c>
    </row>
    <row r="22" spans="2:19">
      <c r="B22" s="2" t="s">
        <v>942</v>
      </c>
      <c r="D22" s="2">
        <f>D10-D15-D18-D19-D20-D21</f>
        <v>36.225590534757714</v>
      </c>
      <c r="E22" s="2">
        <f>E10-E15-E18-E19-E20-E21</f>
        <v>35.020891602244298</v>
      </c>
      <c r="G22" s="2">
        <f>G10-G15-G18-G19-G20-G21</f>
        <v>33.873892669730921</v>
      </c>
      <c r="H22" s="2">
        <f>H10-H15-H18-H19-H20-H21</f>
        <v>32.926893737217512</v>
      </c>
      <c r="I22" s="2">
        <f>I10-I15-I18-I19-I20-I21</f>
        <v>31.822194804704129</v>
      </c>
      <c r="L22" s="2" t="s">
        <v>943</v>
      </c>
      <c r="O22" s="2" t="str">
        <f>IF(ISNUMBER('Allowed revenue -DPCR4'!D16+'Allowed revenue -DPCR4'!D17),'Allowed revenue -DPCR4'!D16+'Allowed revenue -DPCR4'!D17,"")</f>
        <v/>
      </c>
      <c r="P22" s="2" t="str">
        <f>IF(ISNUMBER('Allowed revenue -DPCR4'!E16+'Allowed revenue -DPCR4'!E17),'Allowed revenue -DPCR4'!E16+'Allowed revenue -DPCR4'!E17,"")</f>
        <v/>
      </c>
      <c r="Q22" s="2" t="str">
        <f>IF(ISNUMBER('Allowed revenue -DPCR4'!F16+'Allowed revenue -DPCR4'!F17),'Allowed revenue -DPCR4'!F16+'Allowed revenue -DPCR4'!F17,"")</f>
        <v/>
      </c>
      <c r="R22" s="2" t="str">
        <f>IF(ISNUMBER('Allowed revenue -DPCR4'!G16+'Allowed revenue -DPCR4'!G17),'Allowed revenue -DPCR4'!G16+'Allowed revenue -DPCR4'!G17,"")</f>
        <v/>
      </c>
      <c r="S22" s="2" t="str">
        <f>IF(ISNUMBER('Allowed revenue -DPCR4'!H16+'Allowed revenue -DPCR4'!H17),'Allowed revenue -DPCR4'!H16+'Allowed revenue -DPCR4'!H17,"")</f>
        <v/>
      </c>
    </row>
    <row r="23" spans="2:19">
      <c r="B23" s="2" t="s">
        <v>944</v>
      </c>
      <c r="D23" s="2">
        <f>SUM(D18:D22)</f>
        <v>97.225590534757714</v>
      </c>
      <c r="E23" s="2">
        <f>SUM(E18:E22)</f>
        <v>99.820891602244302</v>
      </c>
      <c r="G23" s="2">
        <f>SUM(G18:G22)</f>
        <v>102.27389266973093</v>
      </c>
      <c r="H23" s="2">
        <f>SUM(H18:H22)</f>
        <v>104.82689373721752</v>
      </c>
      <c r="I23" s="2">
        <f>SUM(I18:I22)</f>
        <v>107.32219480470411</v>
      </c>
      <c r="L23" s="2" t="s">
        <v>82</v>
      </c>
      <c r="O23" s="2">
        <f>'Allowed revenue -DPCR4'!D18</f>
        <v>1.8</v>
      </c>
      <c r="P23" s="2" t="str">
        <f>'Allowed revenue -DPCR4'!E18</f>
        <v>-</v>
      </c>
      <c r="Q23" s="2" t="str">
        <f>'Allowed revenue -DPCR4'!F18</f>
        <v>-</v>
      </c>
      <c r="R23" s="2" t="str">
        <f>'Allowed revenue -DPCR4'!G18</f>
        <v>-</v>
      </c>
      <c r="S23" s="2" t="str">
        <f>'Allowed revenue -DPCR4'!H18</f>
        <v>-</v>
      </c>
    </row>
    <row r="24" spans="2:19">
      <c r="B24" s="2" t="s">
        <v>945</v>
      </c>
      <c r="D24" s="2">
        <f>D23-D18</f>
        <v>52.825590534757715</v>
      </c>
      <c r="E24" s="2">
        <f>E23-E18</f>
        <v>51.820891602244302</v>
      </c>
      <c r="G24" s="2">
        <f>G23-G18</f>
        <v>50.673892669730925</v>
      </c>
      <c r="H24" s="2">
        <f>H23-H18</f>
        <v>49.626893737217515</v>
      </c>
      <c r="I24" s="2">
        <f>I23-I18</f>
        <v>48.522194804704114</v>
      </c>
      <c r="L24" s="2" t="s">
        <v>83</v>
      </c>
      <c r="O24" s="2">
        <f>'Allowed revenue -DPCR4'!D19</f>
        <v>144.5</v>
      </c>
      <c r="P24" s="2">
        <f>'Allowed revenue -DPCR4'!E19</f>
        <v>144.1</v>
      </c>
      <c r="Q24" s="2">
        <f>'Allowed revenue -DPCR4'!F19</f>
        <v>143.80000000000001</v>
      </c>
      <c r="R24" s="2">
        <f>'Allowed revenue -DPCR4'!G19</f>
        <v>143.30000000000001</v>
      </c>
      <c r="S24" s="2">
        <f>'Allowed revenue -DPCR4'!H19</f>
        <v>142.9</v>
      </c>
    </row>
    <row r="25" spans="2:19">
      <c r="L25" s="2" t="s">
        <v>946</v>
      </c>
      <c r="O25" s="2">
        <f>'Allowed revenue -DPCR4'!D20</f>
        <v>140.6</v>
      </c>
      <c r="P25" s="2">
        <f>'Allowed revenue -DPCR4'!E20</f>
        <v>132.9</v>
      </c>
      <c r="Q25" s="2">
        <f>'Allowed revenue -DPCR4'!F20</f>
        <v>125.6</v>
      </c>
      <c r="R25" s="2">
        <f>'Allowed revenue -DPCR4'!G20</f>
        <v>118.6</v>
      </c>
      <c r="S25" s="2">
        <f>'Allowed revenue -DPCR4'!H20</f>
        <v>112.1</v>
      </c>
    </row>
    <row r="26" spans="2:19">
      <c r="B26" s="2" t="s">
        <v>947</v>
      </c>
      <c r="L26" s="2" t="s">
        <v>85</v>
      </c>
      <c r="S26" s="2">
        <f>'Allowed revenue -DPCR4'!H21</f>
        <v>62.2</v>
      </c>
    </row>
    <row r="27" spans="2:19">
      <c r="L27" s="2" t="s">
        <v>948</v>
      </c>
      <c r="S27" s="2">
        <f>'Allowed revenue -DPCR4'!H22</f>
        <v>692</v>
      </c>
    </row>
    <row r="28" spans="2:19">
      <c r="B28" s="2" t="s">
        <v>890</v>
      </c>
      <c r="D28" s="2">
        <f>D15</f>
        <v>55.460199999999993</v>
      </c>
      <c r="E28" s="2">
        <f>E15</f>
        <v>55.002500000000005</v>
      </c>
      <c r="G28" s="2">
        <f>G15</f>
        <v>54.687100000000001</v>
      </c>
      <c r="H28" s="2">
        <f>H15</f>
        <v>54.271700000000003</v>
      </c>
      <c r="I28" s="2">
        <f>I15</f>
        <v>53.914000000000001</v>
      </c>
    </row>
    <row r="29" spans="2:19">
      <c r="B29" s="2" t="s">
        <v>69</v>
      </c>
      <c r="D29" s="2">
        <f>D18</f>
        <v>44.4</v>
      </c>
      <c r="E29" s="2">
        <f>E18</f>
        <v>48</v>
      </c>
      <c r="G29" s="2">
        <f>G18</f>
        <v>51.6</v>
      </c>
      <c r="H29" s="2">
        <f>H18</f>
        <v>55.2</v>
      </c>
      <c r="I29" s="2">
        <f>I18</f>
        <v>58.8</v>
      </c>
      <c r="O29" s="2">
        <f>1/(1+Inputs!B25)</f>
        <v>0.94746316736936853</v>
      </c>
      <c r="P29" s="2">
        <f>O29/(1+Inputs!B25)</f>
        <v>0.89768645352159604</v>
      </c>
      <c r="Q29" s="2">
        <f>P29/(1+Inputs!B25)</f>
        <v>0.85052485055814675</v>
      </c>
      <c r="R29" s="2">
        <f>Q29/(1+Inputs!B25)</f>
        <v>0.8058409688361805</v>
      </c>
      <c r="S29" s="2">
        <f>R29/(1+Inputs!B25)</f>
        <v>0.76350463672952817</v>
      </c>
    </row>
    <row r="30" spans="2:19">
      <c r="B30" s="2" t="s">
        <v>942</v>
      </c>
      <c r="D30" s="2">
        <f>D22</f>
        <v>36.225590534757714</v>
      </c>
      <c r="E30" s="2">
        <f>E22</f>
        <v>35.020891602244298</v>
      </c>
      <c r="G30" s="2">
        <f>G22</f>
        <v>33.873892669730921</v>
      </c>
      <c r="H30" s="2">
        <f>H22</f>
        <v>32.926893737217512</v>
      </c>
      <c r="I30" s="2">
        <f>I22</f>
        <v>31.822194804704129</v>
      </c>
      <c r="O30" s="2">
        <v>1</v>
      </c>
      <c r="P30" s="2">
        <f>O29</f>
        <v>0.94746316736936853</v>
      </c>
      <c r="Q30" s="2">
        <f>P29</f>
        <v>0.89768645352159604</v>
      </c>
      <c r="R30" s="2">
        <f>Q29</f>
        <v>0.85052485055814675</v>
      </c>
      <c r="S30" s="2">
        <f>R29</f>
        <v>0.8058409688361805</v>
      </c>
    </row>
    <row r="31" spans="2:19">
      <c r="O31" s="2">
        <f>1/(1+Inputs!B25)^0.5</f>
        <v>0.97337719686120061</v>
      </c>
      <c r="P31" s="2">
        <f>1/(1+Inputs!B25)^1.5</f>
        <v>0.92223904198323059</v>
      </c>
      <c r="Q31" s="2">
        <f>1/(1+Inputs!B25)^2.5</f>
        <v>0.87378752378912361</v>
      </c>
      <c r="R31" s="2">
        <f>1/(1+Inputs!B25)^3.5</f>
        <v>0.82788149489708041</v>
      </c>
      <c r="S31" s="2">
        <f>1/(1+Inputs!B25)^4.5</f>
        <v>0.78438722336167555</v>
      </c>
    </row>
    <row r="33" spans="1:19">
      <c r="L33" s="2" t="s">
        <v>88</v>
      </c>
      <c r="O33" s="2">
        <f>'Allowed revenue -DPCR4'!D24</f>
        <v>1</v>
      </c>
      <c r="P33" s="2">
        <f>'Allowed revenue -DPCR4'!E24</f>
        <v>1.014</v>
      </c>
      <c r="Q33" s="2">
        <f>'Allowed revenue -DPCR4'!F24</f>
        <v>1.028</v>
      </c>
      <c r="R33" s="2">
        <f>'Allowed revenue -DPCR4'!G24</f>
        <v>1.042</v>
      </c>
      <c r="S33" s="2">
        <f>'Allowed revenue -DPCR4'!H24</f>
        <v>1.056</v>
      </c>
    </row>
    <row r="34" spans="1:19">
      <c r="L34" s="2" t="s">
        <v>89</v>
      </c>
      <c r="O34" s="2">
        <f>O33*O31</f>
        <v>0.97337719686120061</v>
      </c>
      <c r="P34" s="2">
        <f>P33*P31</f>
        <v>0.93515038857099586</v>
      </c>
      <c r="Q34" s="2">
        <f>Q33*Q31</f>
        <v>0.89825357445521914</v>
      </c>
      <c r="R34" s="2">
        <f>R33*R31</f>
        <v>0.86265251768275786</v>
      </c>
      <c r="S34" s="2">
        <f>S33*S31</f>
        <v>0.82831290786992939</v>
      </c>
    </row>
    <row r="35" spans="1:19">
      <c r="L35" s="2" t="s">
        <v>90</v>
      </c>
      <c r="O35" s="2">
        <f>($S$27-$N$41)/SUM($O$34:$U$34)*O33</f>
        <v>152.6857905347577</v>
      </c>
      <c r="P35" s="2">
        <f>($S$27-$N$41)/SUM($O$34:$U$34)*P33</f>
        <v>154.8233916022443</v>
      </c>
      <c r="Q35" s="2">
        <f>($S$27-$N$41)/SUM($O$34:$U$34)*Q33</f>
        <v>156.96099266973093</v>
      </c>
      <c r="R35" s="2">
        <f>($S$27-$N$41)/SUM($O$34:$U$34)*R33</f>
        <v>159.09859373721753</v>
      </c>
      <c r="S35" s="2">
        <f>($S$27-$N$41)/SUM($O$34:$U$34)*S33</f>
        <v>161.23619480470413</v>
      </c>
    </row>
    <row r="36" spans="1:19">
      <c r="L36" s="2" t="s">
        <v>949</v>
      </c>
      <c r="O36" s="2">
        <f>'Allowed revenue -DPCR4'!D27</f>
        <v>1.2</v>
      </c>
      <c r="P36" s="2">
        <f>'Allowed revenue -DPCR4'!E27</f>
        <v>1.2</v>
      </c>
      <c r="Q36" s="2">
        <f>'Allowed revenue -DPCR4'!F27</f>
        <v>1.2</v>
      </c>
      <c r="R36" s="2">
        <f>'Allowed revenue -DPCR4'!G27</f>
        <v>1.2</v>
      </c>
      <c r="S36" s="2">
        <f>'Allowed revenue -DPCR4'!H27</f>
        <v>1.2</v>
      </c>
    </row>
    <row r="37" spans="1:19">
      <c r="L37" s="2" t="s">
        <v>92</v>
      </c>
      <c r="O37" s="2">
        <f>O36+O35</f>
        <v>153.88579053475769</v>
      </c>
      <c r="P37" s="2">
        <f>P36+P35</f>
        <v>156.02339160224429</v>
      </c>
      <c r="Q37" s="2">
        <f>Q36+Q35</f>
        <v>158.16099266973092</v>
      </c>
      <c r="R37" s="2">
        <f>R36+R35</f>
        <v>160.29859373721752</v>
      </c>
      <c r="S37" s="2">
        <f>S36+S35</f>
        <v>162.43619480470412</v>
      </c>
    </row>
    <row r="38" spans="1:19">
      <c r="L38" s="2" t="s">
        <v>950</v>
      </c>
      <c r="O38" s="2">
        <f>O37*O31</f>
        <v>149.78891942749232</v>
      </c>
      <c r="P38" s="2">
        <f>P37*P31</f>
        <v>143.8908631982282</v>
      </c>
      <c r="Q38" s="2">
        <f>Q37*Q31</f>
        <v>138.19910214491389</v>
      </c>
      <c r="R38" s="2">
        <f>R37*R31</f>
        <v>132.70823941306742</v>
      </c>
      <c r="S38" s="2">
        <f>S37*S31</f>
        <v>127.41287581629808</v>
      </c>
    </row>
    <row r="39" spans="1:19">
      <c r="L39" s="2" t="s">
        <v>948</v>
      </c>
      <c r="S39" s="2">
        <f>SUM(O38:S38)</f>
        <v>691.99999999999989</v>
      </c>
    </row>
    <row r="41" spans="1:19">
      <c r="L41" s="2" t="s">
        <v>951</v>
      </c>
      <c r="N41" s="2">
        <f>SUM(O41:S41)</f>
        <v>5.2580069770707727</v>
      </c>
      <c r="O41" s="2">
        <f>O36*O31</f>
        <v>1.1680526362334407</v>
      </c>
      <c r="P41" s="2">
        <f>P36*P31</f>
        <v>1.1066868503798766</v>
      </c>
      <c r="Q41" s="2">
        <f>Q36*Q31</f>
        <v>1.0485450285469482</v>
      </c>
      <c r="R41" s="2">
        <f>R36*R31</f>
        <v>0.99345779387649646</v>
      </c>
      <c r="S41" s="2">
        <f>S36*S31</f>
        <v>0.94126466803401065</v>
      </c>
    </row>
    <row r="43" spans="1:19">
      <c r="A43" s="2" t="s">
        <v>952</v>
      </c>
    </row>
    <row r="45" spans="1:19">
      <c r="B45" s="2" t="s">
        <v>953</v>
      </c>
      <c r="C45" s="2" t="s">
        <v>954</v>
      </c>
      <c r="D45" s="2" t="s">
        <v>955</v>
      </c>
      <c r="E45" s="2" t="s">
        <v>956</v>
      </c>
      <c r="K45" s="2" t="s">
        <v>223</v>
      </c>
    </row>
    <row r="46" spans="1:19">
      <c r="E46" s="2" t="s">
        <v>427</v>
      </c>
      <c r="G46" s="2" t="s">
        <v>245</v>
      </c>
      <c r="H46" s="2" t="s">
        <v>53</v>
      </c>
      <c r="I46" s="2" t="s">
        <v>466</v>
      </c>
      <c r="J46" s="2" t="s">
        <v>891</v>
      </c>
      <c r="K46" s="2" t="s">
        <v>427</v>
      </c>
      <c r="L46" s="2" t="s">
        <v>245</v>
      </c>
      <c r="M46" s="2" t="s">
        <v>53</v>
      </c>
      <c r="N46" s="2" t="s">
        <v>466</v>
      </c>
      <c r="O46" s="2" t="s">
        <v>891</v>
      </c>
    </row>
    <row r="47" spans="1:19">
      <c r="B47" s="2" t="s">
        <v>942</v>
      </c>
      <c r="C47" s="2">
        <f>SUM(D24:I24)</f>
        <v>253.46946334865453</v>
      </c>
      <c r="D47" s="2" t="s">
        <v>910</v>
      </c>
      <c r="E47" s="2">
        <f>VLOOKUP($D47,'Calc-Drivers'!$B$17:$G$27,E$53,FALSE)</f>
        <v>0.41310653682222936</v>
      </c>
      <c r="G47" s="2">
        <f>VLOOKUP($D47,'Calc-Drivers'!$B$17:$G$27,G$53,FALSE)</f>
        <v>0.24824652525999713</v>
      </c>
      <c r="H47" s="2">
        <f>VLOOKUP($D47,'Calc-Drivers'!$B$17:$G$27,H$53,FALSE)</f>
        <v>0.10861090913673016</v>
      </c>
      <c r="I47" s="2">
        <f>VLOOKUP($D47,'Calc-Drivers'!$B$17:$G$27,I$53,FALSE)</f>
        <v>0.17353988080053689</v>
      </c>
      <c r="J47" s="2">
        <f>VLOOKUP($D47,'Calc-Drivers'!$B$17:$G$27,J$53,FALSE)</f>
        <v>5.6496147980506381E-2</v>
      </c>
      <c r="K47" s="2">
        <f>$C47*E47</f>
        <v>104.70989219415166</v>
      </c>
      <c r="L47" s="2">
        <f t="shared" ref="L47:N49" si="2">$C47*G47</f>
        <v>62.922913535819681</v>
      </c>
      <c r="M47" s="2">
        <f t="shared" si="2"/>
        <v>27.529548852696472</v>
      </c>
      <c r="N47" s="2">
        <f t="shared" si="2"/>
        <v>43.98706045610156</v>
      </c>
      <c r="O47" s="2">
        <f>$C47 * J47</f>
        <v>14.320048309885125</v>
      </c>
    </row>
    <row r="48" spans="1:19">
      <c r="B48" s="2" t="s">
        <v>69</v>
      </c>
      <c r="C48" s="2">
        <f>SUM(D18:I18)</f>
        <v>258</v>
      </c>
      <c r="D48" s="2" t="s">
        <v>910</v>
      </c>
      <c r="E48" s="2">
        <f>VLOOKUP($D48,'Calc-Drivers'!$B$17:$G$27,E$53,FALSE)</f>
        <v>0.41310653682222936</v>
      </c>
      <c r="G48" s="2">
        <f>VLOOKUP($D48,'Calc-Drivers'!$B$17:$G$27,G$53,FALSE)</f>
        <v>0.24824652525999713</v>
      </c>
      <c r="H48" s="2">
        <f>VLOOKUP($D48,'Calc-Drivers'!$B$17:$G$27,H$53,FALSE)</f>
        <v>0.10861090913673016</v>
      </c>
      <c r="I48" s="2">
        <f>VLOOKUP($D48,'Calc-Drivers'!$B$17:$G$27,I$53,FALSE)</f>
        <v>0.17353988080053689</v>
      </c>
      <c r="J48" s="2">
        <f>VLOOKUP($D48,'Calc-Drivers'!$B$17:$G$27,J$53,FALSE)</f>
        <v>5.6496147980506381E-2</v>
      </c>
      <c r="K48" s="2">
        <f>$C48*E48</f>
        <v>106.58148650013517</v>
      </c>
      <c r="L48" s="2">
        <f t="shared" si="2"/>
        <v>64.047603517079253</v>
      </c>
      <c r="M48" s="2">
        <f t="shared" si="2"/>
        <v>28.021614557276383</v>
      </c>
      <c r="N48" s="2">
        <f t="shared" si="2"/>
        <v>44.773289246538518</v>
      </c>
      <c r="O48" s="2">
        <f>$C48 * J48</f>
        <v>14.576006178970646</v>
      </c>
    </row>
    <row r="49" spans="1:18">
      <c r="B49" s="2" t="s">
        <v>957</v>
      </c>
      <c r="C49" s="2">
        <f>SUM(D15:I15)</f>
        <v>273.33550000000002</v>
      </c>
      <c r="D49" s="2" t="s">
        <v>958</v>
      </c>
      <c r="E49" s="2">
        <f>'Calc-Opex'!AQ42</f>
        <v>0.13299320051684738</v>
      </c>
      <c r="G49" s="2">
        <f>'Calc-Opex'!AR42</f>
        <v>0.24649409433039693</v>
      </c>
      <c r="H49" s="2">
        <f>'Calc-Opex'!AS42</f>
        <v>7.3278334478904777E-2</v>
      </c>
      <c r="I49" s="2">
        <f>'Calc-Opex'!AT42</f>
        <v>0.16332394179693019</v>
      </c>
      <c r="J49" s="2">
        <f>'Calc-Opex'!AU42</f>
        <v>0.38391042887692078</v>
      </c>
      <c r="K49" s="2">
        <f>$C49*E49</f>
        <v>36.351762959872737</v>
      </c>
      <c r="L49" s="2">
        <f t="shared" si="2"/>
        <v>67.375586520846213</v>
      </c>
      <c r="M49" s="2">
        <f t="shared" si="2"/>
        <v>20.02957019395868</v>
      </c>
      <c r="N49" s="2">
        <f>$C49*I49</f>
        <v>44.642231293034818</v>
      </c>
      <c r="O49" s="2">
        <f>$C49 * J49</f>
        <v>104.93634903228759</v>
      </c>
    </row>
    <row r="51" spans="1:18">
      <c r="B51" s="2" t="s">
        <v>220</v>
      </c>
      <c r="C51" s="2">
        <f>SUM(C47:C49)</f>
        <v>784.80496334865461</v>
      </c>
      <c r="K51" s="2">
        <f>SUM(K47:K50)</f>
        <v>247.64314165415956</v>
      </c>
      <c r="L51" s="2">
        <f>SUM(L47:L50)</f>
        <v>194.34610357374515</v>
      </c>
      <c r="M51" s="2">
        <f>SUM(M47:M50)</f>
        <v>75.580733603931535</v>
      </c>
      <c r="N51" s="2">
        <f>SUM(N47:N50)</f>
        <v>133.4025809956749</v>
      </c>
      <c r="O51" s="2">
        <f>SUM($O$47:$O$50)</f>
        <v>133.83240352114336</v>
      </c>
    </row>
    <row r="52" spans="1:18">
      <c r="K52" s="2">
        <f>K51/SUM($K$51:$O$51)</f>
        <v>0.31554736937123906</v>
      </c>
      <c r="L52" s="2">
        <f>L51/SUM($K$51:$O$51)</f>
        <v>0.24763618051610833</v>
      </c>
      <c r="M52" s="2">
        <f>M51/SUM($K$51:$O$51)</f>
        <v>9.6305116727905218E-2</v>
      </c>
      <c r="N52" s="2">
        <f>N51/SUM($K$51:$O$51)</f>
        <v>0.16998182634633771</v>
      </c>
      <c r="O52" s="2">
        <f>O51/SUM($K$50:$O$51)</f>
        <v>0.17052950703840988</v>
      </c>
    </row>
    <row r="53" spans="1:18">
      <c r="E53" s="2">
        <v>6</v>
      </c>
      <c r="G53" s="2">
        <v>5</v>
      </c>
      <c r="H53" s="2">
        <v>4</v>
      </c>
      <c r="I53" s="2">
        <v>3</v>
      </c>
      <c r="J53" s="2">
        <v>2</v>
      </c>
    </row>
    <row r="55" spans="1:18">
      <c r="D55" s="2" t="s">
        <v>959</v>
      </c>
    </row>
    <row r="56" spans="1:18">
      <c r="D56" s="2" t="s">
        <v>960</v>
      </c>
    </row>
    <row r="58" spans="1:18">
      <c r="A58" s="2" t="s">
        <v>961</v>
      </c>
    </row>
    <row r="60" spans="1:18">
      <c r="B60" s="2" t="s">
        <v>962</v>
      </c>
    </row>
    <row r="61" spans="1:18">
      <c r="B61" s="2" t="s">
        <v>963</v>
      </c>
      <c r="F61" s="2">
        <f>'Summary of revenue'!J11</f>
        <v>175.47958399999999</v>
      </c>
      <c r="G61" s="2">
        <f>F61/$F$66</f>
        <v>0.93951790431543203</v>
      </c>
      <c r="P61" s="2" t="s">
        <v>223</v>
      </c>
      <c r="Q61" s="2" t="s">
        <v>964</v>
      </c>
      <c r="R61" s="2" t="s">
        <v>965</v>
      </c>
    </row>
    <row r="62" spans="1:18">
      <c r="B62" s="2" t="s">
        <v>966</v>
      </c>
      <c r="F62" s="2">
        <f>'Summary of revenue'!J12</f>
        <v>-2.381996</v>
      </c>
      <c r="G62" s="2">
        <f>F62/$F$66</f>
        <v>-1.275320945602277E-2</v>
      </c>
    </row>
    <row r="63" spans="1:18">
      <c r="B63" s="2" t="s">
        <v>967</v>
      </c>
      <c r="F63" s="2">
        <f>'Summary of revenue'!J13</f>
        <v>0.56508199999999997</v>
      </c>
      <c r="G63" s="2">
        <f>F63/$F$66</f>
        <v>3.0254497093312746E-3</v>
      </c>
      <c r="M63" s="2" t="s">
        <v>968</v>
      </c>
      <c r="P63" s="2">
        <f>F66</f>
        <v>186.77619999999999</v>
      </c>
      <c r="Q63" s="2">
        <f>'Calc-Allocation'!G68</f>
        <v>7.2002433899141067</v>
      </c>
      <c r="R63" s="2">
        <f>P63-Q63</f>
        <v>179.57595661008588</v>
      </c>
    </row>
    <row r="64" spans="1:18">
      <c r="B64" s="2" t="s">
        <v>969</v>
      </c>
      <c r="F64" s="2">
        <f>'Summary of revenue'!J21</f>
        <v>-2.6964700000000001</v>
      </c>
      <c r="G64" s="2">
        <f>F64/$F$66</f>
        <v>-1.44369036311907E-2</v>
      </c>
    </row>
    <row r="65" spans="2:19">
      <c r="B65" s="2" t="s">
        <v>970</v>
      </c>
      <c r="F65" s="2">
        <f>'Summary of revenue'!J46+'Summary of revenue'!J47</f>
        <v>15.81</v>
      </c>
      <c r="G65" s="2">
        <f>F65/$F$66</f>
        <v>8.4646759062450144E-2</v>
      </c>
      <c r="M65" s="2" t="s">
        <v>971</v>
      </c>
      <c r="P65" s="2">
        <f>-F63</f>
        <v>-0.56508199999999997</v>
      </c>
      <c r="Q65" s="2">
        <f>Q$63*P65/P$63</f>
        <v>-2.1783974271130067E-2</v>
      </c>
      <c r="R65" s="2">
        <f>P65-Q65</f>
        <v>-0.54329802572886987</v>
      </c>
    </row>
    <row r="66" spans="2:19">
      <c r="B66" s="2" t="s">
        <v>220</v>
      </c>
      <c r="F66" s="2">
        <f>SUM(F61:F65)</f>
        <v>186.77619999999999</v>
      </c>
      <c r="G66" s="2">
        <f>SUM(G61:G65)</f>
        <v>1</v>
      </c>
      <c r="M66" s="2" t="s">
        <v>1007</v>
      </c>
      <c r="P66" s="2">
        <f>-'Calc-Opex'!I37</f>
        <v>-4.3</v>
      </c>
      <c r="Q66" s="2">
        <f>Q$63*P66/P$63</f>
        <v>-0.1657654807016668</v>
      </c>
      <c r="R66" s="2">
        <f>P66-Q66</f>
        <v>-4.1342345192983334</v>
      </c>
    </row>
    <row r="68" spans="2:19" ht="18">
      <c r="B68" s="2" t="s">
        <v>996</v>
      </c>
      <c r="G68" s="2">
        <f>(('Summary of revenue'!J11+'Summary of revenue'!J63)/'Summary of revenue'!J62)-'Summary of revenue'!J61</f>
        <v>7.2002433899141067</v>
      </c>
      <c r="M68" s="2" t="s">
        <v>972</v>
      </c>
      <c r="P68" s="2">
        <f>-SUM(P65:P67)</f>
        <v>4.8650820000000001</v>
      </c>
      <c r="Q68" s="2">
        <f>-SUM(Q65:Q67)</f>
        <v>0.18754945497279688</v>
      </c>
      <c r="R68" s="2">
        <f>P68-Q68</f>
        <v>4.6775325450272032</v>
      </c>
    </row>
    <row r="69" spans="2:19">
      <c r="M69" s="2" t="s">
        <v>973</v>
      </c>
      <c r="P69" s="2">
        <f>SUM(P63:P67)</f>
        <v>181.91111799999999</v>
      </c>
      <c r="Q69" s="2">
        <f>SUM(Q63:Q67)</f>
        <v>7.0126939349413107</v>
      </c>
      <c r="R69" s="2">
        <f>P69-Q69</f>
        <v>174.89842406505869</v>
      </c>
    </row>
    <row r="70" spans="2:19">
      <c r="B70" s="2" t="s">
        <v>1012</v>
      </c>
      <c r="G70" s="2">
        <f>(SUM('FBPQ LR1'!D13:M13)-MIN(0,'Calc-Net capex'!C19)-MIN(0,'Calc-Net capex'!C20)-MIN(0,'Calc-Net capex'!C21+'Calc-Net capex'!C22))/10</f>
        <v>7.5819749255074669</v>
      </c>
    </row>
    <row r="71" spans="2:19" ht="39" customHeight="1">
      <c r="L71" s="2" t="s">
        <v>974</v>
      </c>
    </row>
    <row r="72" spans="2:19">
      <c r="B72" s="2" t="s">
        <v>975</v>
      </c>
      <c r="D72" s="2" t="s">
        <v>223</v>
      </c>
      <c r="L72" s="2" t="s">
        <v>976</v>
      </c>
    </row>
    <row r="73" spans="2:19">
      <c r="D73" s="2" t="s">
        <v>220</v>
      </c>
      <c r="F73" s="2" t="s">
        <v>427</v>
      </c>
      <c r="G73" s="2" t="s">
        <v>245</v>
      </c>
      <c r="H73" s="2" t="s">
        <v>53</v>
      </c>
      <c r="I73" s="2" t="s">
        <v>244</v>
      </c>
      <c r="J73" s="2" t="s">
        <v>977</v>
      </c>
      <c r="L73" s="2" t="s">
        <v>427</v>
      </c>
      <c r="M73" s="2" t="s">
        <v>245</v>
      </c>
      <c r="N73" s="2" t="s">
        <v>53</v>
      </c>
      <c r="O73" s="2" t="s">
        <v>466</v>
      </c>
      <c r="P73" s="2" t="s">
        <v>977</v>
      </c>
      <c r="R73" s="2" t="s">
        <v>220</v>
      </c>
      <c r="S73" s="2" t="s">
        <v>891</v>
      </c>
    </row>
    <row r="75" spans="2:19">
      <c r="B75" s="2" t="s">
        <v>978</v>
      </c>
      <c r="D75" s="2">
        <f>SUM(F75:J75)</f>
        <v>187.15793153559338</v>
      </c>
      <c r="F75" s="2">
        <f>$R$69*K52+$G70*E49</f>
        <v>56.197088732486407</v>
      </c>
      <c r="G75" s="2">
        <f>$R$69*L52+$G70*G49</f>
        <v>45.180089756256486</v>
      </c>
      <c r="H75" s="2">
        <f>$R$69*M52+$G70*H49</f>
        <v>17.399207639714149</v>
      </c>
      <c r="I75" s="2">
        <f>$R$69*(N52+O52)+$G70*(I49+J49)</f>
        <v>63.70401286210916</v>
      </c>
      <c r="J75" s="2">
        <f>R68</f>
        <v>4.6775325450272032</v>
      </c>
      <c r="L75" s="2">
        <f>F75*100000000/'Calc-Units'!E23</f>
        <v>0.33592941206922083</v>
      </c>
      <c r="M75" s="2">
        <f>G75*100000000/'Calc-Units'!D23</f>
        <v>0.30968719265805544</v>
      </c>
      <c r="N75" s="2">
        <f>H75*100000000/'Calc-Units'!C23</f>
        <v>0.15290226674500318</v>
      </c>
      <c r="O75" s="2">
        <f>I75*100000000/'Calc-Units'!C23</f>
        <v>0.55982365226427944</v>
      </c>
      <c r="P75" s="2">
        <f>J75*100000000/'Calc-Units'!E23</f>
        <v>2.7960892516435385E-2</v>
      </c>
    </row>
    <row r="77" spans="2:19">
      <c r="B77" s="2" t="s">
        <v>979</v>
      </c>
      <c r="L77" s="2">
        <f>L75</f>
        <v>0.33592941206922083</v>
      </c>
      <c r="M77" s="2">
        <f>M75</f>
        <v>0.30968719265805544</v>
      </c>
      <c r="N77" s="2">
        <f>N75</f>
        <v>0.15290226674500318</v>
      </c>
      <c r="O77" s="2">
        <f>O75</f>
        <v>0.55982365226427944</v>
      </c>
      <c r="P77" s="2">
        <f>P75</f>
        <v>2.7960892516435385E-2</v>
      </c>
      <c r="R77" s="2">
        <f>SUM(L77:P77)</f>
        <v>1.3863034162529944</v>
      </c>
    </row>
    <row r="78" spans="2:19">
      <c r="B78" s="2" t="s">
        <v>980</v>
      </c>
    </row>
    <row r="79" spans="2:19">
      <c r="B79" s="2" t="s">
        <v>981</v>
      </c>
    </row>
    <row r="81" spans="2:19">
      <c r="B81" s="2" t="s">
        <v>979</v>
      </c>
      <c r="L81" s="2">
        <f>L77/$R77</f>
        <v>0.24232026562929221</v>
      </c>
      <c r="M81" s="2">
        <f>M77/$R77</f>
        <v>0.22339062937253765</v>
      </c>
      <c r="N81" s="2">
        <f>N77/$R77</f>
        <v>0.11029495055150262</v>
      </c>
      <c r="O81" s="2">
        <f>$O77/$R77*$N52/($N52+$O52)</f>
        <v>0.20158762563371679</v>
      </c>
      <c r="P81" s="2">
        <f>P77/$R77</f>
        <v>2.0169388741759144E-2</v>
      </c>
      <c r="R81" s="2">
        <f>SUM(L81:P81) + S81</f>
        <v>0.99999999999999989</v>
      </c>
      <c r="S81" s="2">
        <f>$O77/$R77*$O52/($N52+$O52)</f>
        <v>0.20223714007119153</v>
      </c>
    </row>
    <row r="82" spans="2:19">
      <c r="B82" s="2" t="s">
        <v>980</v>
      </c>
    </row>
    <row r="83" spans="2:19">
      <c r="B83" s="2" t="s">
        <v>981</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C4"/>
    <pageSetUpPr fitToPage="1"/>
  </sheetPr>
  <dimension ref="A1:G13"/>
  <sheetViews>
    <sheetView showGridLines="0" workbookViewId="0"/>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Northern Powergrid (Yorkshire) in 2017/18  Status: April 2017 - Final Charges</v>
      </c>
    </row>
    <row r="3" spans="1:7" ht="14.1" customHeight="1">
      <c r="A3" s="2" t="s">
        <v>908</v>
      </c>
      <c r="B3" s="2" t="s">
        <v>982</v>
      </c>
    </row>
    <row r="4" spans="1:7" ht="14.1" customHeight="1">
      <c r="B4" s="2" t="s">
        <v>891</v>
      </c>
      <c r="C4" s="2" t="s">
        <v>466</v>
      </c>
      <c r="D4" s="2" t="s">
        <v>550</v>
      </c>
      <c r="E4" s="2" t="s">
        <v>245</v>
      </c>
      <c r="F4" s="2" t="s">
        <v>427</v>
      </c>
      <c r="G4" s="2" t="s">
        <v>983</v>
      </c>
    </row>
    <row r="5" spans="1:7" ht="14.1" customHeight="1">
      <c r="A5" s="2" t="s">
        <v>984</v>
      </c>
      <c r="B5" s="2">
        <f>'Calc-Allocation'!J49</f>
        <v>0.38391042887692078</v>
      </c>
      <c r="C5" s="2">
        <f>'Calc-Allocation'!I49</f>
        <v>0.16332394179693019</v>
      </c>
      <c r="D5" s="2">
        <f>'Calc-Allocation'!H49</f>
        <v>7.3278334478904777E-2</v>
      </c>
      <c r="E5" s="2">
        <f>'Calc-Allocation'!G49</f>
        <v>0.24649409433039693</v>
      </c>
      <c r="F5" s="2">
        <f>'Calc-Allocation'!E49</f>
        <v>0.13299320051684738</v>
      </c>
      <c r="G5" s="2" t="s">
        <v>985</v>
      </c>
    </row>
    <row r="6" spans="1:7" ht="14.1" customHeight="1">
      <c r="A6" s="2" t="s">
        <v>69</v>
      </c>
      <c r="B6" s="2">
        <f>'Calc-Allocation'!J47</f>
        <v>5.6496147980506381E-2</v>
      </c>
      <c r="C6" s="2">
        <f>'Calc-Allocation'!I48</f>
        <v>0.17353988080053689</v>
      </c>
      <c r="D6" s="2">
        <f>'Calc-Allocation'!H48</f>
        <v>0.10861090913673016</v>
      </c>
      <c r="E6" s="2">
        <f>'Calc-Allocation'!G48</f>
        <v>0.24824652525999713</v>
      </c>
      <c r="F6" s="2">
        <f>'Calc-Allocation'!E48</f>
        <v>0.41310653682222936</v>
      </c>
      <c r="G6" s="2" t="s">
        <v>985</v>
      </c>
    </row>
    <row r="7" spans="1:7" ht="14.1" customHeight="1">
      <c r="A7" s="2" t="s">
        <v>942</v>
      </c>
      <c r="B7" s="2">
        <f>'Calc-Allocation'!J48</f>
        <v>5.6496147980506381E-2</v>
      </c>
      <c r="C7" s="2">
        <f>'Calc-Allocation'!I47</f>
        <v>0.17353988080053689</v>
      </c>
      <c r="D7" s="2">
        <f>'Calc-Allocation'!H47</f>
        <v>0.10861090913673016</v>
      </c>
      <c r="E7" s="2">
        <f>'Calc-Allocation'!G47</f>
        <v>0.24824652525999713</v>
      </c>
      <c r="F7" s="2">
        <f>'Calc-Allocation'!E47</f>
        <v>0.41310653682222936</v>
      </c>
      <c r="G7" s="2" t="s">
        <v>985</v>
      </c>
    </row>
    <row r="8" spans="1:7" ht="14.1" customHeight="1">
      <c r="A8" s="2" t="s">
        <v>986</v>
      </c>
      <c r="B8" s="2">
        <f>'Calc-Allocation'!O52</f>
        <v>0.17052950703840988</v>
      </c>
      <c r="C8" s="2">
        <f>'Calc-Allocation'!N52</f>
        <v>0.16998182634633771</v>
      </c>
      <c r="D8" s="2">
        <f>'Calc-Allocation'!M52</f>
        <v>9.6305116727905218E-2</v>
      </c>
      <c r="E8" s="2">
        <f>'Calc-Allocation'!L52</f>
        <v>0.24763618051610833</v>
      </c>
      <c r="F8" s="2">
        <f>'Calc-Allocation'!K52</f>
        <v>0.31554736937123906</v>
      </c>
      <c r="G8" s="2" t="s">
        <v>985</v>
      </c>
    </row>
    <row r="9" spans="1:7" ht="14.1" customHeight="1">
      <c r="A9" s="2" t="s">
        <v>987</v>
      </c>
      <c r="B9" s="2">
        <f>'Calc-Allocation'!S81</f>
        <v>0.20223714007119153</v>
      </c>
      <c r="C9" s="2">
        <f>'Calc-Allocation'!O81</f>
        <v>0.20158762563371679</v>
      </c>
      <c r="D9" s="2">
        <f>'Calc-Allocation'!N81</f>
        <v>0.11029495055150262</v>
      </c>
      <c r="E9" s="2">
        <f>'Calc-Allocation'!M81</f>
        <v>0.22339062937253765</v>
      </c>
      <c r="F9" s="2">
        <f>'Calc-Allocation'!L81</f>
        <v>0.24232026562929221</v>
      </c>
      <c r="G9" s="2">
        <f>'Calc-Allocation'!P81</f>
        <v>2.0169388741759144E-2</v>
      </c>
    </row>
    <row r="10" spans="1:7" ht="14.1" customHeight="1">
      <c r="A10" s="2" t="s">
        <v>988</v>
      </c>
      <c r="B10" s="2">
        <f>'Calc-Opex'!AD49</f>
        <v>0.58935074198441373</v>
      </c>
      <c r="C10" s="2">
        <f>'Calc-Opex'!AC49</f>
        <v>0.58935074198441373</v>
      </c>
      <c r="D10" s="2">
        <f>'Calc-Opex'!AB49</f>
        <v>0.79325539997800265</v>
      </c>
      <c r="E10" s="2">
        <f>'Calc-Opex'!AA49</f>
        <v>0.72150447257930728</v>
      </c>
      <c r="F10" s="2">
        <f>'Calc-Opex'!Z49</f>
        <v>0.86866407743577612</v>
      </c>
      <c r="G10" s="2" t="s">
        <v>985</v>
      </c>
    </row>
    <row r="12" spans="1:7" ht="14.1" customHeight="1">
      <c r="B12" s="2" t="s">
        <v>991</v>
      </c>
      <c r="C12" s="2" t="s">
        <v>992</v>
      </c>
      <c r="D12" s="2" t="s">
        <v>993</v>
      </c>
      <c r="E12" s="2" t="s">
        <v>994</v>
      </c>
    </row>
    <row r="13" spans="1:7" ht="14.1" customHeight="1">
      <c r="A13" s="2" t="s">
        <v>995</v>
      </c>
      <c r="B13" s="2">
        <f>C9*(1-C10*Inputs!B12)+B9</f>
        <v>0.38501865530625734</v>
      </c>
      <c r="C13" s="2">
        <f>C9 +D9+(E9*(1-Inputs!B13*E10))+B9</f>
        <v>0.64241571607643921</v>
      </c>
      <c r="D13" s="2">
        <f>(D9 + E9  *(1-Inputs!B13* E10))/(1-C9-B9)</f>
        <v>0.40020272001676999</v>
      </c>
      <c r="E13" s="2">
        <f>E9*(1-Inputs!B13*E10)/(1-B9-C9-D9)</f>
        <v>0.26404858174433182</v>
      </c>
    </row>
  </sheetData>
  <sheetProtection sheet="1" objects="1" scenarios="1"/>
  <phoneticPr fontId="1"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1E0DF"/>
    <pageSetUpPr fitToPage="1"/>
  </sheetPr>
  <dimension ref="A1:H7"/>
  <sheetViews>
    <sheetView showGridLines="0" workbookViewId="0">
      <selection activeCell="A7" sqref="A7:XFD7"/>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Northern Powergrid (Yorkshire) in 2017/18  Status: April 2017 - Final Charges</v>
      </c>
      <c r="B1" s="14"/>
      <c r="C1" s="14"/>
      <c r="D1" s="14"/>
      <c r="E1" s="14"/>
      <c r="F1" s="14"/>
      <c r="G1" s="14"/>
      <c r="H1" s="14"/>
    </row>
    <row r="2" spans="1:8">
      <c r="A2" s="14"/>
      <c r="B2" s="14"/>
      <c r="C2" s="14"/>
      <c r="D2" s="14"/>
      <c r="E2" s="14"/>
      <c r="F2" s="14"/>
      <c r="G2" s="14"/>
      <c r="H2" s="14"/>
    </row>
    <row r="3" spans="1:8" s="1" customFormat="1">
      <c r="A3" s="39" t="s">
        <v>989</v>
      </c>
      <c r="B3" s="39"/>
      <c r="C3" s="39"/>
      <c r="D3" s="39"/>
      <c r="E3" s="39"/>
      <c r="F3" s="39"/>
      <c r="G3" s="39"/>
      <c r="H3" s="39"/>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38"/>
      <c r="C6" s="38">
        <f>'Calc-Summary'!B13</f>
        <v>0.38501865530625734</v>
      </c>
      <c r="D6" s="38">
        <f>'Calc-Summary'!C13</f>
        <v>0.64241571607643921</v>
      </c>
      <c r="E6" s="38">
        <f>'Calc-Summary'!D13</f>
        <v>0.40020272001676999</v>
      </c>
      <c r="F6" s="38">
        <f>'Calc-Summary'!E13</f>
        <v>0.26404858174433182</v>
      </c>
      <c r="G6" s="14"/>
      <c r="H6" s="14"/>
    </row>
    <row r="7" spans="1:8">
      <c r="A7" s="14"/>
      <c r="B7" s="14"/>
      <c r="C7" s="14"/>
      <c r="D7" s="14"/>
      <c r="E7" s="14"/>
      <c r="F7" s="14"/>
      <c r="G7" s="14"/>
      <c r="H7" s="14"/>
    </row>
  </sheetData>
  <phoneticPr fontId="1" type="noConversion"/>
  <pageMargins left="0.75" right="0.75" top="1" bottom="1" header="0.5" footer="0.5"/>
  <pageSetup paperSize="9" scale="7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5FFFF"/>
    <pageSetUpPr fitToPage="1"/>
  </sheetPr>
  <dimension ref="A1:J33"/>
  <sheetViews>
    <sheetView workbookViewId="0">
      <selection sqref="A1:XFD1048576"/>
    </sheetView>
  </sheetViews>
  <sheetFormatPr defaultColWidth="8.85546875" defaultRowHeight="12.75"/>
  <cols>
    <col min="1" max="1" width="5" customWidth="1"/>
    <col min="2" max="2" width="38.140625" bestFit="1" customWidth="1"/>
    <col min="3" max="8" width="9.42578125" customWidth="1"/>
  </cols>
  <sheetData>
    <row r="1" spans="1:10">
      <c r="C1" s="43" t="s">
        <v>59</v>
      </c>
      <c r="D1" s="43" t="s">
        <v>60</v>
      </c>
      <c r="E1" s="43" t="s">
        <v>61</v>
      </c>
      <c r="F1" s="43" t="s">
        <v>62</v>
      </c>
      <c r="G1" s="43" t="s">
        <v>63</v>
      </c>
      <c r="H1" s="43" t="s">
        <v>64</v>
      </c>
      <c r="J1" s="44"/>
    </row>
    <row r="2" spans="1:10">
      <c r="C2" s="43" t="s">
        <v>65</v>
      </c>
      <c r="D2" s="43" t="s">
        <v>65</v>
      </c>
      <c r="E2" s="43" t="s">
        <v>65</v>
      </c>
      <c r="F2" s="43" t="s">
        <v>65</v>
      </c>
      <c r="G2" s="43" t="s">
        <v>65</v>
      </c>
      <c r="H2" s="43" t="s">
        <v>65</v>
      </c>
    </row>
    <row r="3" spans="1:10">
      <c r="A3">
        <v>1</v>
      </c>
      <c r="B3" t="s">
        <v>66</v>
      </c>
      <c r="C3" s="45">
        <v>0</v>
      </c>
      <c r="D3" s="46">
        <v>596.6</v>
      </c>
      <c r="E3" s="46">
        <v>624.6</v>
      </c>
      <c r="F3" s="46">
        <v>648.9</v>
      </c>
      <c r="G3" s="46">
        <v>669.5</v>
      </c>
      <c r="H3" s="46">
        <v>686.5</v>
      </c>
      <c r="I3" t="s">
        <v>67</v>
      </c>
    </row>
    <row r="4" spans="1:10">
      <c r="A4">
        <v>2</v>
      </c>
      <c r="B4" t="s">
        <v>68</v>
      </c>
      <c r="C4" s="45">
        <v>0</v>
      </c>
      <c r="D4" s="46">
        <v>72.3</v>
      </c>
      <c r="E4" s="46">
        <v>72.3</v>
      </c>
      <c r="F4" s="46">
        <v>72.3</v>
      </c>
      <c r="G4" s="46">
        <v>72.2</v>
      </c>
      <c r="H4" s="46">
        <v>72.2</v>
      </c>
      <c r="I4" t="s">
        <v>67</v>
      </c>
    </row>
    <row r="5" spans="1:10">
      <c r="A5">
        <v>3</v>
      </c>
      <c r="B5" t="s">
        <v>69</v>
      </c>
      <c r="C5" s="45">
        <v>0</v>
      </c>
      <c r="D5" s="46">
        <v>-44.4</v>
      </c>
      <c r="E5" s="46">
        <v>-48</v>
      </c>
      <c r="F5" s="46">
        <v>-51.6</v>
      </c>
      <c r="G5" s="46">
        <v>-55.2</v>
      </c>
      <c r="H5" s="46">
        <v>-58.8</v>
      </c>
      <c r="I5" t="s">
        <v>67</v>
      </c>
    </row>
    <row r="6" spans="1:10">
      <c r="A6">
        <v>4</v>
      </c>
      <c r="B6" t="s">
        <v>70</v>
      </c>
      <c r="C6" s="45">
        <v>0</v>
      </c>
      <c r="D6" s="46">
        <v>624.6</v>
      </c>
      <c r="E6" s="46">
        <v>648.9</v>
      </c>
      <c r="F6" s="46">
        <v>669.5</v>
      </c>
      <c r="G6" s="46">
        <v>686.5</v>
      </c>
      <c r="H6" s="46">
        <v>699.9</v>
      </c>
      <c r="I6" t="s">
        <v>67</v>
      </c>
    </row>
    <row r="7" spans="1:10">
      <c r="A7">
        <v>5</v>
      </c>
      <c r="B7" t="s">
        <v>71</v>
      </c>
      <c r="C7" s="45">
        <v>0</v>
      </c>
      <c r="D7" s="46">
        <v>596.6</v>
      </c>
      <c r="E7" s="46">
        <v>0</v>
      </c>
      <c r="F7" s="46" t="s">
        <v>67</v>
      </c>
      <c r="G7" s="46">
        <v>0</v>
      </c>
      <c r="H7" s="46">
        <v>534.4</v>
      </c>
    </row>
    <row r="8" spans="1:10">
      <c r="A8">
        <v>6</v>
      </c>
      <c r="B8" t="s">
        <v>72</v>
      </c>
      <c r="C8" s="45">
        <v>0</v>
      </c>
      <c r="D8" s="46">
        <v>0</v>
      </c>
      <c r="E8" s="46" t="s">
        <v>67</v>
      </c>
      <c r="F8" s="46">
        <v>0</v>
      </c>
      <c r="G8" s="46">
        <v>0</v>
      </c>
      <c r="H8" s="46">
        <v>62.2</v>
      </c>
    </row>
    <row r="9" spans="1:10">
      <c r="A9" s="47" t="s">
        <v>73</v>
      </c>
      <c r="D9" s="48"/>
      <c r="E9" s="48"/>
      <c r="F9" s="48"/>
      <c r="G9" s="48"/>
      <c r="H9" s="48"/>
    </row>
    <row r="10" spans="1:10">
      <c r="A10">
        <v>7</v>
      </c>
      <c r="B10" t="s">
        <v>74</v>
      </c>
      <c r="C10" s="45">
        <v>0</v>
      </c>
      <c r="D10" s="46">
        <v>46.3</v>
      </c>
      <c r="E10" s="46">
        <v>47.6</v>
      </c>
      <c r="F10" s="46">
        <v>47.2</v>
      </c>
      <c r="G10" s="46">
        <v>46.7</v>
      </c>
      <c r="H10" s="46">
        <v>46.3</v>
      </c>
      <c r="I10" t="s">
        <v>67</v>
      </c>
    </row>
    <row r="11" spans="1:10">
      <c r="A11">
        <v>8</v>
      </c>
      <c r="B11" t="s">
        <v>75</v>
      </c>
      <c r="C11" s="45">
        <v>0</v>
      </c>
      <c r="D11" s="46">
        <v>62.3</v>
      </c>
      <c r="E11" s="46">
        <v>62.2</v>
      </c>
      <c r="F11" s="46">
        <v>62.1</v>
      </c>
      <c r="G11" s="46">
        <v>61.9</v>
      </c>
      <c r="H11" s="46">
        <v>61.8</v>
      </c>
      <c r="I11" t="s">
        <v>67</v>
      </c>
    </row>
    <row r="12" spans="1:10">
      <c r="A12">
        <v>9</v>
      </c>
      <c r="B12" t="s">
        <v>76</v>
      </c>
      <c r="C12" s="45">
        <v>0</v>
      </c>
      <c r="D12" s="46">
        <v>17.399999999999999</v>
      </c>
      <c r="E12" s="46">
        <v>17.5</v>
      </c>
      <c r="F12" s="46">
        <v>17.7</v>
      </c>
      <c r="G12" s="46">
        <v>17.899999999999999</v>
      </c>
      <c r="H12" s="46">
        <v>18</v>
      </c>
      <c r="I12" t="s">
        <v>67</v>
      </c>
    </row>
    <row r="13" spans="1:10">
      <c r="A13">
        <v>10</v>
      </c>
      <c r="B13" t="s">
        <v>77</v>
      </c>
      <c r="C13" s="45">
        <v>0</v>
      </c>
      <c r="D13" s="46">
        <v>13.1</v>
      </c>
      <c r="E13" s="46">
        <v>13.6</v>
      </c>
      <c r="F13" s="46">
        <v>13.9</v>
      </c>
      <c r="G13" s="46">
        <v>14.4</v>
      </c>
      <c r="H13" s="46">
        <v>14.8</v>
      </c>
      <c r="I13" t="s">
        <v>67</v>
      </c>
    </row>
    <row r="14" spans="1:10">
      <c r="A14">
        <v>11</v>
      </c>
      <c r="B14" t="s">
        <v>78</v>
      </c>
      <c r="C14" s="45">
        <v>0</v>
      </c>
      <c r="D14" s="46">
        <v>2.4</v>
      </c>
      <c r="E14" s="46">
        <v>2</v>
      </c>
      <c r="F14" s="46">
        <v>1.7</v>
      </c>
      <c r="G14" s="46">
        <v>1.1000000000000001</v>
      </c>
      <c r="H14" s="46">
        <v>0.6</v>
      </c>
      <c r="I14" t="s">
        <v>67</v>
      </c>
    </row>
    <row r="15" spans="1:10">
      <c r="A15">
        <v>12</v>
      </c>
      <c r="B15" t="s">
        <v>79</v>
      </c>
      <c r="C15" s="45">
        <v>0</v>
      </c>
      <c r="D15" s="46">
        <v>1.1000000000000001</v>
      </c>
      <c r="E15" s="46">
        <v>1.2</v>
      </c>
      <c r="F15" s="46">
        <v>1.2</v>
      </c>
      <c r="G15" s="46">
        <v>1.2</v>
      </c>
      <c r="H15" s="46">
        <v>1.3</v>
      </c>
      <c r="I15" t="s">
        <v>67</v>
      </c>
    </row>
    <row r="16" spans="1:10">
      <c r="A16">
        <v>13</v>
      </c>
      <c r="B16" t="s">
        <v>80</v>
      </c>
      <c r="C16" s="45">
        <v>0</v>
      </c>
      <c r="D16" s="49" t="s">
        <v>1013</v>
      </c>
      <c r="E16" s="49" t="s">
        <v>1013</v>
      </c>
      <c r="F16" s="49" t="s">
        <v>1013</v>
      </c>
      <c r="G16" s="49" t="s">
        <v>1013</v>
      </c>
      <c r="H16" s="49" t="s">
        <v>1013</v>
      </c>
      <c r="I16" t="s">
        <v>67</v>
      </c>
    </row>
    <row r="17" spans="1:9">
      <c r="A17">
        <v>14</v>
      </c>
      <c r="B17" t="s">
        <v>81</v>
      </c>
      <c r="C17" s="45">
        <v>0</v>
      </c>
      <c r="D17" s="49" t="s">
        <v>1013</v>
      </c>
      <c r="E17" s="49" t="s">
        <v>1013</v>
      </c>
      <c r="F17" s="49" t="s">
        <v>1013</v>
      </c>
      <c r="G17" s="49" t="s">
        <v>1013</v>
      </c>
      <c r="H17" s="49" t="s">
        <v>1013</v>
      </c>
      <c r="I17" t="s">
        <v>67</v>
      </c>
    </row>
    <row r="18" spans="1:9">
      <c r="A18">
        <v>15</v>
      </c>
      <c r="B18" t="s">
        <v>82</v>
      </c>
      <c r="C18" s="45">
        <v>0</v>
      </c>
      <c r="D18" s="49">
        <v>1.8</v>
      </c>
      <c r="E18" s="49" t="s">
        <v>1013</v>
      </c>
      <c r="F18" s="49" t="s">
        <v>1013</v>
      </c>
      <c r="G18" s="49" t="s">
        <v>1013</v>
      </c>
      <c r="H18" s="49" t="s">
        <v>1013</v>
      </c>
      <c r="I18" t="s">
        <v>67</v>
      </c>
    </row>
    <row r="19" spans="1:9">
      <c r="A19">
        <v>16</v>
      </c>
      <c r="B19" t="s">
        <v>83</v>
      </c>
      <c r="C19" s="50">
        <v>0</v>
      </c>
      <c r="D19" s="51">
        <v>144.5</v>
      </c>
      <c r="E19" s="51">
        <v>144.1</v>
      </c>
      <c r="F19" s="51">
        <v>143.80000000000001</v>
      </c>
      <c r="G19" s="51">
        <v>143.30000000000001</v>
      </c>
      <c r="H19" s="51">
        <v>142.9</v>
      </c>
      <c r="I19" t="s">
        <v>67</v>
      </c>
    </row>
    <row r="20" spans="1:9">
      <c r="A20">
        <v>17</v>
      </c>
      <c r="B20" t="s">
        <v>84</v>
      </c>
      <c r="C20" s="45">
        <v>0</v>
      </c>
      <c r="D20" s="46">
        <v>140.6</v>
      </c>
      <c r="E20" s="46">
        <v>132.9</v>
      </c>
      <c r="F20" s="46">
        <v>125.6</v>
      </c>
      <c r="G20" s="46">
        <v>118.6</v>
      </c>
      <c r="H20" s="46">
        <v>112.1</v>
      </c>
      <c r="I20" t="s">
        <v>67</v>
      </c>
    </row>
    <row r="21" spans="1:9">
      <c r="A21">
        <v>18</v>
      </c>
      <c r="B21" t="s">
        <v>85</v>
      </c>
      <c r="C21" s="45">
        <v>0</v>
      </c>
      <c r="D21" s="46">
        <v>0</v>
      </c>
      <c r="E21" s="46" t="s">
        <v>67</v>
      </c>
      <c r="F21" s="46">
        <v>0</v>
      </c>
      <c r="G21" s="46">
        <v>0</v>
      </c>
      <c r="H21" s="46">
        <v>62.2</v>
      </c>
    </row>
    <row r="22" spans="1:9">
      <c r="A22">
        <v>19</v>
      </c>
      <c r="B22" s="52" t="s">
        <v>86</v>
      </c>
      <c r="C22" s="45">
        <v>0</v>
      </c>
      <c r="D22" s="46">
        <v>0</v>
      </c>
      <c r="E22" s="46">
        <v>0</v>
      </c>
      <c r="F22" s="46">
        <v>0</v>
      </c>
      <c r="G22" s="46">
        <v>0</v>
      </c>
      <c r="H22" s="51">
        <v>692</v>
      </c>
    </row>
    <row r="23" spans="1:9">
      <c r="A23" s="47" t="s">
        <v>87</v>
      </c>
      <c r="D23" s="48"/>
      <c r="E23" s="48"/>
      <c r="F23" s="48"/>
      <c r="G23" s="48"/>
      <c r="H23" s="48"/>
    </row>
    <row r="24" spans="1:9">
      <c r="A24">
        <v>20</v>
      </c>
      <c r="B24" t="s">
        <v>88</v>
      </c>
      <c r="C24" s="45">
        <v>0</v>
      </c>
      <c r="D24" s="53">
        <v>1</v>
      </c>
      <c r="E24" s="53">
        <v>1.014</v>
      </c>
      <c r="F24" s="53">
        <v>1.028</v>
      </c>
      <c r="G24" s="53">
        <v>1.042</v>
      </c>
      <c r="H24" s="53">
        <v>1.056</v>
      </c>
      <c r="I24" t="s">
        <v>67</v>
      </c>
    </row>
    <row r="25" spans="1:9">
      <c r="A25">
        <v>21</v>
      </c>
      <c r="B25" t="s">
        <v>89</v>
      </c>
      <c r="C25" s="45">
        <v>0</v>
      </c>
      <c r="D25" s="53">
        <v>0.97299999999999998</v>
      </c>
      <c r="E25" s="53">
        <v>0.93500000000000005</v>
      </c>
      <c r="F25" s="53">
        <v>0.89800000000000002</v>
      </c>
      <c r="G25" s="53">
        <v>0.86299999999999999</v>
      </c>
      <c r="H25" s="53">
        <v>0.82799999999999996</v>
      </c>
      <c r="I25" t="s">
        <v>67</v>
      </c>
    </row>
    <row r="26" spans="1:9">
      <c r="A26">
        <v>22</v>
      </c>
      <c r="B26" t="s">
        <v>90</v>
      </c>
      <c r="C26" s="45">
        <v>158.80000000000001</v>
      </c>
      <c r="D26" s="46">
        <v>152.69999999999999</v>
      </c>
      <c r="E26" s="46">
        <v>154.80000000000001</v>
      </c>
      <c r="F26" s="46">
        <v>157</v>
      </c>
      <c r="G26" s="46">
        <v>159.1</v>
      </c>
      <c r="H26" s="46">
        <v>161.19999999999999</v>
      </c>
      <c r="I26" t="s">
        <v>67</v>
      </c>
    </row>
    <row r="27" spans="1:9">
      <c r="A27">
        <v>23</v>
      </c>
      <c r="B27" t="s">
        <v>91</v>
      </c>
      <c r="C27" s="45">
        <v>0</v>
      </c>
      <c r="D27" s="46">
        <v>1.2</v>
      </c>
      <c r="E27" s="46">
        <v>1.2</v>
      </c>
      <c r="F27" s="46">
        <v>1.2</v>
      </c>
      <c r="G27" s="46">
        <v>1.2</v>
      </c>
      <c r="H27" s="46">
        <v>1.2</v>
      </c>
      <c r="I27" t="s">
        <v>67</v>
      </c>
    </row>
    <row r="28" spans="1:9">
      <c r="A28">
        <v>24</v>
      </c>
      <c r="B28" t="s">
        <v>92</v>
      </c>
      <c r="C28" s="45">
        <v>0</v>
      </c>
      <c r="D28" s="46">
        <v>153.9</v>
      </c>
      <c r="E28" s="46">
        <v>156</v>
      </c>
      <c r="F28" s="46">
        <v>158.19999999999999</v>
      </c>
      <c r="G28" s="46">
        <v>160.30000000000001</v>
      </c>
      <c r="H28" s="46">
        <v>162.4</v>
      </c>
      <c r="I28" t="s">
        <v>67</v>
      </c>
    </row>
    <row r="29" spans="1:9">
      <c r="A29">
        <v>25</v>
      </c>
      <c r="B29" t="s">
        <v>93</v>
      </c>
      <c r="C29" s="45">
        <v>0</v>
      </c>
      <c r="D29" s="46">
        <v>149.80000000000001</v>
      </c>
      <c r="E29" s="46">
        <v>143.9</v>
      </c>
      <c r="F29" s="46">
        <v>138.19999999999999</v>
      </c>
      <c r="G29" s="46">
        <v>132.69999999999999</v>
      </c>
      <c r="H29" s="46">
        <v>127.4</v>
      </c>
      <c r="I29" t="s">
        <v>67</v>
      </c>
    </row>
    <row r="30" spans="1:9">
      <c r="A30">
        <v>26</v>
      </c>
      <c r="B30" t="s">
        <v>86</v>
      </c>
      <c r="C30" s="45">
        <v>0</v>
      </c>
      <c r="D30" s="46">
        <v>0</v>
      </c>
      <c r="E30" s="46">
        <v>0</v>
      </c>
      <c r="F30" s="46">
        <v>0</v>
      </c>
      <c r="G30" s="46">
        <v>0</v>
      </c>
      <c r="H30" s="51">
        <v>692</v>
      </c>
    </row>
    <row r="32" spans="1:9">
      <c r="A32" t="s">
        <v>1014</v>
      </c>
    </row>
    <row r="33" spans="1:1">
      <c r="A33" s="54" t="s">
        <v>1015</v>
      </c>
    </row>
  </sheetData>
  <phoneticPr fontId="1"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5FFFF"/>
    <pageSetUpPr fitToPage="1"/>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47" t="s">
        <v>94</v>
      </c>
      <c r="B1" s="47"/>
      <c r="F1" t="s">
        <v>67</v>
      </c>
      <c r="G1" s="44"/>
      <c r="I1" t="s">
        <v>67</v>
      </c>
      <c r="K1" t="s">
        <v>67</v>
      </c>
      <c r="L1" t="s">
        <v>67</v>
      </c>
      <c r="N1" t="s">
        <v>67</v>
      </c>
      <c r="P1" t="s">
        <v>67</v>
      </c>
      <c r="Q1" t="s">
        <v>67</v>
      </c>
      <c r="S1" t="s">
        <v>67</v>
      </c>
      <c r="U1" t="s">
        <v>67</v>
      </c>
      <c r="V1" t="s">
        <v>67</v>
      </c>
      <c r="X1" t="s">
        <v>67</v>
      </c>
      <c r="Z1" t="s">
        <v>67</v>
      </c>
      <c r="AA1" t="s">
        <v>67</v>
      </c>
      <c r="AC1" t="s">
        <v>67</v>
      </c>
      <c r="AE1" t="s">
        <v>67</v>
      </c>
    </row>
    <row r="2" spans="1:31">
      <c r="A2" s="47"/>
      <c r="B2" s="47"/>
    </row>
    <row r="3" spans="1:31">
      <c r="A3" s="47" t="s">
        <v>95</v>
      </c>
      <c r="B3" s="47"/>
    </row>
    <row r="4" spans="1:31">
      <c r="A4" s="47"/>
      <c r="B4" s="47"/>
    </row>
    <row r="5" spans="1:31">
      <c r="A5" s="47"/>
      <c r="B5" s="47" t="s">
        <v>96</v>
      </c>
    </row>
    <row r="6" spans="1:31" ht="13.5" thickBot="1"/>
    <row r="7" spans="1:31" ht="13.5" customHeight="1" thickBot="1">
      <c r="B7" s="1478" t="s">
        <v>97</v>
      </c>
      <c r="C7" s="1479"/>
      <c r="D7" s="1479"/>
      <c r="E7" s="1480"/>
      <c r="F7" s="1487" t="s">
        <v>98</v>
      </c>
      <c r="G7" s="1490" t="s">
        <v>99</v>
      </c>
      <c r="H7" s="1490"/>
      <c r="I7" s="1490"/>
      <c r="J7" s="1490"/>
      <c r="K7" s="1491"/>
      <c r="L7" s="1490" t="s">
        <v>100</v>
      </c>
      <c r="M7" s="1490"/>
      <c r="N7" s="1490"/>
      <c r="O7" s="1490"/>
      <c r="P7" s="1491"/>
      <c r="Q7" s="1492" t="s">
        <v>101</v>
      </c>
      <c r="R7" s="1490"/>
      <c r="S7" s="1490"/>
      <c r="T7" s="1490"/>
      <c r="U7" s="1491"/>
      <c r="V7" s="1492" t="s">
        <v>102</v>
      </c>
      <c r="W7" s="1490"/>
      <c r="X7" s="1490"/>
      <c r="Y7" s="1490"/>
      <c r="Z7" s="1491"/>
      <c r="AA7" s="1492" t="s">
        <v>64</v>
      </c>
      <c r="AB7" s="1490"/>
      <c r="AC7" s="1490"/>
      <c r="AD7" s="1490"/>
      <c r="AE7" s="1491"/>
    </row>
    <row r="8" spans="1:31" ht="38.25">
      <c r="B8" s="1481"/>
      <c r="C8" s="1482"/>
      <c r="D8" s="1482"/>
      <c r="E8" s="1483"/>
      <c r="F8" s="1488"/>
      <c r="G8" s="1482" t="s">
        <v>103</v>
      </c>
      <c r="H8" s="1482"/>
      <c r="I8" s="1481" t="s">
        <v>104</v>
      </c>
      <c r="J8" s="1482"/>
      <c r="K8" s="55" t="s">
        <v>105</v>
      </c>
      <c r="L8" s="1482" t="s">
        <v>103</v>
      </c>
      <c r="M8" s="1482"/>
      <c r="N8" s="1481" t="s">
        <v>104</v>
      </c>
      <c r="O8" s="1483"/>
      <c r="P8" s="56" t="s">
        <v>105</v>
      </c>
      <c r="Q8" s="1482" t="s">
        <v>103</v>
      </c>
      <c r="R8" s="1482"/>
      <c r="S8" s="1481" t="s">
        <v>104</v>
      </c>
      <c r="T8" s="1482"/>
      <c r="U8" s="55" t="s">
        <v>105</v>
      </c>
      <c r="V8" s="1482" t="s">
        <v>103</v>
      </c>
      <c r="W8" s="1482"/>
      <c r="X8" s="1481" t="s">
        <v>104</v>
      </c>
      <c r="Y8" s="1483"/>
      <c r="Z8" s="56" t="s">
        <v>105</v>
      </c>
      <c r="AA8" s="1482" t="s">
        <v>103</v>
      </c>
      <c r="AB8" s="1482"/>
      <c r="AC8" s="1481" t="s">
        <v>104</v>
      </c>
      <c r="AD8" s="1483"/>
      <c r="AE8" s="56" t="s">
        <v>106</v>
      </c>
    </row>
    <row r="9" spans="1:31" ht="16.5" customHeight="1" thickBot="1">
      <c r="B9" s="1484"/>
      <c r="C9" s="1485"/>
      <c r="D9" s="1485"/>
      <c r="E9" s="1486"/>
      <c r="F9" s="1489"/>
      <c r="G9" s="57" t="s">
        <v>107</v>
      </c>
      <c r="H9" s="58" t="s">
        <v>108</v>
      </c>
      <c r="I9" s="59" t="s">
        <v>107</v>
      </c>
      <c r="J9" s="60" t="s">
        <v>108</v>
      </c>
      <c r="K9" s="61" t="s">
        <v>99</v>
      </c>
      <c r="L9" s="57" t="s">
        <v>107</v>
      </c>
      <c r="M9" s="58" t="s">
        <v>108</v>
      </c>
      <c r="N9" s="59" t="s">
        <v>107</v>
      </c>
      <c r="O9" s="62" t="s">
        <v>108</v>
      </c>
      <c r="P9" s="63" t="s">
        <v>100</v>
      </c>
      <c r="Q9" s="57" t="s">
        <v>107</v>
      </c>
      <c r="R9" s="58" t="s">
        <v>108</v>
      </c>
      <c r="S9" s="59" t="s">
        <v>107</v>
      </c>
      <c r="T9" s="60" t="s">
        <v>108</v>
      </c>
      <c r="U9" s="61" t="s">
        <v>101</v>
      </c>
      <c r="V9" s="57" t="s">
        <v>107</v>
      </c>
      <c r="W9" s="58" t="s">
        <v>108</v>
      </c>
      <c r="X9" s="59" t="s">
        <v>107</v>
      </c>
      <c r="Y9" s="62" t="s">
        <v>108</v>
      </c>
      <c r="Z9" s="63" t="s">
        <v>102</v>
      </c>
      <c r="AA9" s="57" t="s">
        <v>107</v>
      </c>
      <c r="AB9" s="58" t="s">
        <v>108</v>
      </c>
      <c r="AC9" s="59" t="s">
        <v>107</v>
      </c>
      <c r="AD9" s="62" t="s">
        <v>108</v>
      </c>
      <c r="AE9" s="63" t="s">
        <v>64</v>
      </c>
    </row>
    <row r="10" spans="1:31">
      <c r="B10" s="64"/>
      <c r="C10" s="65" t="s">
        <v>109</v>
      </c>
      <c r="D10" s="65"/>
      <c r="E10" s="66"/>
      <c r="F10" s="67">
        <v>0</v>
      </c>
      <c r="G10" s="68">
        <v>0</v>
      </c>
      <c r="H10" s="69">
        <v>0</v>
      </c>
      <c r="I10" s="68">
        <v>0</v>
      </c>
      <c r="J10" s="70">
        <v>0</v>
      </c>
      <c r="K10" s="67">
        <v>0</v>
      </c>
      <c r="L10" s="68">
        <v>0</v>
      </c>
      <c r="M10" s="69">
        <v>0</v>
      </c>
      <c r="N10" s="68">
        <v>0</v>
      </c>
      <c r="O10" s="70">
        <v>0</v>
      </c>
      <c r="P10" s="67">
        <v>0</v>
      </c>
      <c r="Q10" s="68">
        <v>0</v>
      </c>
      <c r="R10" s="69">
        <v>0</v>
      </c>
      <c r="S10" s="68">
        <v>0</v>
      </c>
      <c r="T10" s="70">
        <v>0</v>
      </c>
      <c r="U10" s="67">
        <v>0</v>
      </c>
      <c r="V10" s="68">
        <v>0</v>
      </c>
      <c r="W10" s="69">
        <v>0</v>
      </c>
      <c r="X10" s="68">
        <v>0</v>
      </c>
      <c r="Y10" s="69">
        <v>0</v>
      </c>
      <c r="Z10" s="67">
        <v>0</v>
      </c>
      <c r="AA10" s="68">
        <v>0</v>
      </c>
      <c r="AB10" s="69">
        <v>0</v>
      </c>
      <c r="AC10" s="68">
        <v>0</v>
      </c>
      <c r="AD10" s="69">
        <v>0</v>
      </c>
      <c r="AE10" s="67">
        <v>0</v>
      </c>
    </row>
    <row r="11" spans="1:31">
      <c r="B11" s="64"/>
      <c r="C11" s="66"/>
      <c r="D11" s="71" t="s">
        <v>110</v>
      </c>
      <c r="E11" s="66"/>
      <c r="F11" s="72">
        <v>0</v>
      </c>
      <c r="G11" s="73">
        <v>0</v>
      </c>
      <c r="H11" s="74">
        <v>0</v>
      </c>
      <c r="I11" s="73">
        <v>0</v>
      </c>
      <c r="J11" s="75">
        <v>0</v>
      </c>
      <c r="K11" s="72">
        <v>0</v>
      </c>
      <c r="L11" s="73">
        <v>0</v>
      </c>
      <c r="M11" s="74">
        <v>0</v>
      </c>
      <c r="N11" s="73">
        <v>0</v>
      </c>
      <c r="O11" s="75">
        <v>0</v>
      </c>
      <c r="P11" s="72">
        <v>0</v>
      </c>
      <c r="Q11" s="73">
        <v>0</v>
      </c>
      <c r="R11" s="74">
        <v>0</v>
      </c>
      <c r="S11" s="73">
        <v>0</v>
      </c>
      <c r="T11" s="75">
        <v>0</v>
      </c>
      <c r="U11" s="76">
        <v>0</v>
      </c>
      <c r="V11" s="73">
        <v>0</v>
      </c>
      <c r="W11" s="74">
        <v>0</v>
      </c>
      <c r="X11" s="73">
        <v>0</v>
      </c>
      <c r="Y11" s="74">
        <v>0</v>
      </c>
      <c r="Z11" s="72">
        <v>0</v>
      </c>
      <c r="AA11" s="73">
        <v>0</v>
      </c>
      <c r="AB11" s="74">
        <v>0</v>
      </c>
      <c r="AC11" s="73">
        <v>0</v>
      </c>
      <c r="AD11" s="74">
        <v>0</v>
      </c>
      <c r="AE11" s="72">
        <v>0</v>
      </c>
    </row>
    <row r="12" spans="1:31">
      <c r="B12" s="77"/>
      <c r="C12" s="66"/>
      <c r="D12" s="66"/>
      <c r="E12" s="66" t="s">
        <v>111</v>
      </c>
      <c r="F12" s="78">
        <v>2612.9999950601523</v>
      </c>
      <c r="G12" s="79">
        <v>0</v>
      </c>
      <c r="H12" s="80">
        <v>38.885420000000003</v>
      </c>
      <c r="I12" s="79">
        <v>4.0006537024544002</v>
      </c>
      <c r="J12" s="80">
        <v>28.884771237393302</v>
      </c>
      <c r="K12" s="78">
        <v>2607</v>
      </c>
      <c r="L12" s="79">
        <v>0</v>
      </c>
      <c r="M12" s="80">
        <v>79.067536489151493</v>
      </c>
      <c r="N12" s="79">
        <v>1.1045364891518736</v>
      </c>
      <c r="O12" s="80">
        <v>78.063000000000002</v>
      </c>
      <c r="P12" s="78">
        <v>2607.1000000000004</v>
      </c>
      <c r="Q12" s="79">
        <v>0</v>
      </c>
      <c r="R12" s="80">
        <v>35.419245308196899</v>
      </c>
      <c r="S12" s="79">
        <v>0.27087715415656621</v>
      </c>
      <c r="T12" s="80">
        <v>19.348368154040447</v>
      </c>
      <c r="U12" s="81">
        <v>2591.3000000000006</v>
      </c>
      <c r="V12" s="79">
        <v>0</v>
      </c>
      <c r="W12" s="80">
        <v>15</v>
      </c>
      <c r="X12" s="79">
        <v>2.8377522781406448</v>
      </c>
      <c r="Y12" s="80">
        <v>8</v>
      </c>
      <c r="Z12" s="78">
        <v>2587.1377522781413</v>
      </c>
      <c r="AA12" s="79">
        <v>0</v>
      </c>
      <c r="AB12" s="80">
        <v>95.720244000000008</v>
      </c>
      <c r="AC12" s="79">
        <v>2.8377522781406448</v>
      </c>
      <c r="AD12" s="80">
        <v>70.438020319999993</v>
      </c>
      <c r="AE12" s="78">
        <v>2564.6932808762817</v>
      </c>
    </row>
    <row r="13" spans="1:31">
      <c r="B13" s="77"/>
      <c r="C13" s="66"/>
      <c r="D13" s="66"/>
      <c r="E13" s="66" t="s">
        <v>112</v>
      </c>
      <c r="F13" s="78">
        <v>158319</v>
      </c>
      <c r="G13" s="79">
        <v>0</v>
      </c>
      <c r="H13" s="80">
        <v>1506</v>
      </c>
      <c r="I13" s="79">
        <v>174</v>
      </c>
      <c r="J13" s="82">
        <v>826</v>
      </c>
      <c r="K13" s="78">
        <v>157813</v>
      </c>
      <c r="L13" s="79">
        <v>0</v>
      </c>
      <c r="M13" s="80">
        <v>1659</v>
      </c>
      <c r="N13" s="79">
        <v>0</v>
      </c>
      <c r="O13" s="82">
        <v>1003</v>
      </c>
      <c r="P13" s="78">
        <v>157157</v>
      </c>
      <c r="Q13" s="79">
        <v>0</v>
      </c>
      <c r="R13" s="80">
        <v>2107</v>
      </c>
      <c r="S13" s="79">
        <v>0</v>
      </c>
      <c r="T13" s="82">
        <v>902</v>
      </c>
      <c r="U13" s="81">
        <v>155952</v>
      </c>
      <c r="V13" s="79">
        <v>0</v>
      </c>
      <c r="W13" s="80">
        <v>1345</v>
      </c>
      <c r="X13" s="79">
        <v>0</v>
      </c>
      <c r="Y13" s="80">
        <v>395</v>
      </c>
      <c r="Z13" s="78">
        <v>155002</v>
      </c>
      <c r="AA13" s="79">
        <v>0</v>
      </c>
      <c r="AB13" s="80">
        <v>1147.5165</v>
      </c>
      <c r="AC13" s="79">
        <v>0</v>
      </c>
      <c r="AD13" s="80">
        <v>589</v>
      </c>
      <c r="AE13" s="78">
        <v>154443.4835</v>
      </c>
    </row>
    <row r="14" spans="1:31">
      <c r="B14" s="77"/>
      <c r="C14" s="66"/>
      <c r="D14" s="66"/>
      <c r="E14" s="66"/>
      <c r="F14" s="83">
        <v>0</v>
      </c>
      <c r="G14" s="84">
        <v>0</v>
      </c>
      <c r="H14" s="85">
        <v>0</v>
      </c>
      <c r="I14" s="84">
        <v>0</v>
      </c>
      <c r="J14" s="86">
        <v>0</v>
      </c>
      <c r="K14" s="83">
        <v>0</v>
      </c>
      <c r="L14" s="84">
        <v>0</v>
      </c>
      <c r="M14" s="85">
        <v>0</v>
      </c>
      <c r="N14" s="84">
        <v>0</v>
      </c>
      <c r="O14" s="86">
        <v>0</v>
      </c>
      <c r="P14" s="83">
        <v>0</v>
      </c>
      <c r="Q14" s="84">
        <v>0</v>
      </c>
      <c r="R14" s="85">
        <v>0</v>
      </c>
      <c r="S14" s="84">
        <v>0</v>
      </c>
      <c r="T14" s="86">
        <v>0</v>
      </c>
      <c r="U14" s="87">
        <v>0</v>
      </c>
      <c r="V14" s="84">
        <v>0</v>
      </c>
      <c r="W14" s="85">
        <v>0</v>
      </c>
      <c r="X14" s="84">
        <v>0</v>
      </c>
      <c r="Y14" s="85">
        <v>0</v>
      </c>
      <c r="Z14" s="83">
        <v>0</v>
      </c>
      <c r="AA14" s="84">
        <v>0</v>
      </c>
      <c r="AB14" s="85">
        <v>0</v>
      </c>
      <c r="AC14" s="84">
        <v>0</v>
      </c>
      <c r="AD14" s="85">
        <v>0</v>
      </c>
      <c r="AE14" s="83">
        <v>0</v>
      </c>
    </row>
    <row r="15" spans="1:31">
      <c r="B15" s="77"/>
      <c r="C15" s="66"/>
      <c r="D15" s="71" t="s">
        <v>113</v>
      </c>
      <c r="E15" s="66"/>
      <c r="F15" s="83">
        <v>0</v>
      </c>
      <c r="G15" s="84">
        <v>0</v>
      </c>
      <c r="H15" s="85">
        <v>0</v>
      </c>
      <c r="I15" s="84">
        <v>0</v>
      </c>
      <c r="J15" s="86">
        <v>0</v>
      </c>
      <c r="K15" s="83">
        <v>0</v>
      </c>
      <c r="L15" s="84">
        <v>0</v>
      </c>
      <c r="M15" s="85">
        <v>0</v>
      </c>
      <c r="N15" s="84">
        <v>0</v>
      </c>
      <c r="O15" s="86">
        <v>0</v>
      </c>
      <c r="P15" s="83">
        <v>0</v>
      </c>
      <c r="Q15" s="84">
        <v>0</v>
      </c>
      <c r="R15" s="85">
        <v>0</v>
      </c>
      <c r="S15" s="84">
        <v>0</v>
      </c>
      <c r="T15" s="86">
        <v>0</v>
      </c>
      <c r="U15" s="87">
        <v>0</v>
      </c>
      <c r="V15" s="84">
        <v>0</v>
      </c>
      <c r="W15" s="85">
        <v>0</v>
      </c>
      <c r="X15" s="84">
        <v>0</v>
      </c>
      <c r="Y15" s="85">
        <v>0</v>
      </c>
      <c r="Z15" s="83">
        <v>0</v>
      </c>
      <c r="AA15" s="84">
        <v>0</v>
      </c>
      <c r="AB15" s="85">
        <v>0</v>
      </c>
      <c r="AC15" s="84">
        <v>0</v>
      </c>
      <c r="AD15" s="85">
        <v>0</v>
      </c>
      <c r="AE15" s="83">
        <v>0</v>
      </c>
    </row>
    <row r="16" spans="1:31">
      <c r="B16" s="77"/>
      <c r="C16" s="66"/>
      <c r="D16" s="66"/>
      <c r="E16" s="66" t="s">
        <v>114</v>
      </c>
      <c r="F16" s="78">
        <v>74828</v>
      </c>
      <c r="G16" s="79">
        <v>0</v>
      </c>
      <c r="H16" s="80">
        <v>840</v>
      </c>
      <c r="I16" s="79">
        <v>111</v>
      </c>
      <c r="J16" s="82">
        <v>579</v>
      </c>
      <c r="K16" s="78">
        <v>74678</v>
      </c>
      <c r="L16" s="79">
        <v>0</v>
      </c>
      <c r="M16" s="80">
        <v>603</v>
      </c>
      <c r="N16" s="79">
        <v>0</v>
      </c>
      <c r="O16" s="82">
        <v>603</v>
      </c>
      <c r="P16" s="78">
        <v>74678</v>
      </c>
      <c r="Q16" s="79">
        <v>0</v>
      </c>
      <c r="R16" s="80">
        <v>1061</v>
      </c>
      <c r="S16" s="79">
        <v>0</v>
      </c>
      <c r="T16" s="82">
        <v>371</v>
      </c>
      <c r="U16" s="81">
        <v>73988</v>
      </c>
      <c r="V16" s="79">
        <v>0</v>
      </c>
      <c r="W16" s="80">
        <v>1140</v>
      </c>
      <c r="X16" s="79">
        <v>70</v>
      </c>
      <c r="Y16" s="80">
        <v>965</v>
      </c>
      <c r="Z16" s="78">
        <v>73883</v>
      </c>
      <c r="AA16" s="79">
        <v>0</v>
      </c>
      <c r="AB16" s="80">
        <v>1781</v>
      </c>
      <c r="AC16" s="79">
        <v>70</v>
      </c>
      <c r="AD16" s="80">
        <v>1709</v>
      </c>
      <c r="AE16" s="78">
        <v>73881</v>
      </c>
    </row>
    <row r="17" spans="2:31">
      <c r="B17" s="77"/>
      <c r="C17" s="66"/>
      <c r="D17" s="66"/>
      <c r="E17" s="66"/>
      <c r="F17" s="83">
        <v>0</v>
      </c>
      <c r="G17" s="84">
        <v>0</v>
      </c>
      <c r="H17" s="85">
        <v>0</v>
      </c>
      <c r="I17" s="84">
        <v>0</v>
      </c>
      <c r="J17" s="86">
        <v>0</v>
      </c>
      <c r="K17" s="83">
        <v>0</v>
      </c>
      <c r="L17" s="84">
        <v>0</v>
      </c>
      <c r="M17" s="85">
        <v>0</v>
      </c>
      <c r="N17" s="84">
        <v>0</v>
      </c>
      <c r="O17" s="86">
        <v>0</v>
      </c>
      <c r="P17" s="83">
        <v>0</v>
      </c>
      <c r="Q17" s="84">
        <v>0</v>
      </c>
      <c r="R17" s="85">
        <v>0</v>
      </c>
      <c r="S17" s="84">
        <v>0</v>
      </c>
      <c r="T17" s="86">
        <v>0</v>
      </c>
      <c r="U17" s="87">
        <v>0</v>
      </c>
      <c r="V17" s="84">
        <v>0</v>
      </c>
      <c r="W17" s="85">
        <v>0</v>
      </c>
      <c r="X17" s="84">
        <v>0</v>
      </c>
      <c r="Y17" s="85">
        <v>0</v>
      </c>
      <c r="Z17" s="83">
        <v>0</v>
      </c>
      <c r="AA17" s="84">
        <v>0</v>
      </c>
      <c r="AB17" s="85">
        <v>0</v>
      </c>
      <c r="AC17" s="84">
        <v>0</v>
      </c>
      <c r="AD17" s="85">
        <v>0</v>
      </c>
      <c r="AE17" s="83">
        <v>0</v>
      </c>
    </row>
    <row r="18" spans="2:31">
      <c r="B18" s="77"/>
      <c r="C18" s="66"/>
      <c r="D18" s="71" t="s">
        <v>115</v>
      </c>
      <c r="E18" s="66"/>
      <c r="F18" s="83">
        <v>0</v>
      </c>
      <c r="G18" s="84">
        <v>0</v>
      </c>
      <c r="H18" s="85">
        <v>0</v>
      </c>
      <c r="I18" s="84">
        <v>0</v>
      </c>
      <c r="J18" s="86">
        <v>0</v>
      </c>
      <c r="K18" s="83">
        <v>0</v>
      </c>
      <c r="L18" s="84">
        <v>0</v>
      </c>
      <c r="M18" s="85">
        <v>0</v>
      </c>
      <c r="N18" s="84">
        <v>0</v>
      </c>
      <c r="O18" s="86">
        <v>0</v>
      </c>
      <c r="P18" s="83">
        <v>0</v>
      </c>
      <c r="Q18" s="84">
        <v>0</v>
      </c>
      <c r="R18" s="85">
        <v>0</v>
      </c>
      <c r="S18" s="84">
        <v>0</v>
      </c>
      <c r="T18" s="86">
        <v>0</v>
      </c>
      <c r="U18" s="87">
        <v>0</v>
      </c>
      <c r="V18" s="84">
        <v>0</v>
      </c>
      <c r="W18" s="85">
        <v>0</v>
      </c>
      <c r="X18" s="84">
        <v>0</v>
      </c>
      <c r="Y18" s="85">
        <v>0</v>
      </c>
      <c r="Z18" s="83">
        <v>0</v>
      </c>
      <c r="AA18" s="84">
        <v>0</v>
      </c>
      <c r="AB18" s="85">
        <v>0</v>
      </c>
      <c r="AC18" s="84">
        <v>0</v>
      </c>
      <c r="AD18" s="85">
        <v>0</v>
      </c>
      <c r="AE18" s="83">
        <v>0</v>
      </c>
    </row>
    <row r="19" spans="2:31">
      <c r="B19" s="77"/>
      <c r="C19" s="66"/>
      <c r="D19" s="71"/>
      <c r="E19" s="66" t="s">
        <v>116</v>
      </c>
      <c r="F19" s="78">
        <v>2253.1999999999998</v>
      </c>
      <c r="G19" s="79">
        <v>0</v>
      </c>
      <c r="H19" s="80">
        <v>7</v>
      </c>
      <c r="I19" s="79">
        <v>0</v>
      </c>
      <c r="J19" s="82">
        <v>0</v>
      </c>
      <c r="K19" s="78">
        <v>2246.1999999999998</v>
      </c>
      <c r="L19" s="79">
        <v>0</v>
      </c>
      <c r="M19" s="80">
        <v>7.3000000000001819</v>
      </c>
      <c r="N19" s="79">
        <v>0</v>
      </c>
      <c r="O19" s="82">
        <v>0</v>
      </c>
      <c r="P19" s="78">
        <v>2238.8999999999996</v>
      </c>
      <c r="Q19" s="79">
        <v>0</v>
      </c>
      <c r="R19" s="80">
        <v>17.699999999999363</v>
      </c>
      <c r="S19" s="79">
        <v>0</v>
      </c>
      <c r="T19" s="82">
        <v>0</v>
      </c>
      <c r="U19" s="81">
        <v>2221.2000000000003</v>
      </c>
      <c r="V19" s="79">
        <v>0</v>
      </c>
      <c r="W19" s="80">
        <v>0.62321084885924538</v>
      </c>
      <c r="X19" s="79">
        <v>0</v>
      </c>
      <c r="Y19" s="80">
        <v>0</v>
      </c>
      <c r="Z19" s="78">
        <v>2220.5767891511409</v>
      </c>
      <c r="AA19" s="79">
        <v>0</v>
      </c>
      <c r="AB19" s="80">
        <v>4.882999136619822</v>
      </c>
      <c r="AC19" s="79">
        <v>0</v>
      </c>
      <c r="AD19" s="80">
        <v>0</v>
      </c>
      <c r="AE19" s="78">
        <v>2215.6937900145213</v>
      </c>
    </row>
    <row r="20" spans="2:31">
      <c r="B20" s="77"/>
      <c r="C20" s="66"/>
      <c r="D20" s="71"/>
      <c r="E20" s="66" t="s">
        <v>117</v>
      </c>
      <c r="F20" s="78">
        <v>2931.7360601577925</v>
      </c>
      <c r="G20" s="79">
        <v>0</v>
      </c>
      <c r="H20" s="80">
        <v>93.970889999999997</v>
      </c>
      <c r="I20" s="79">
        <v>88.501902306986395</v>
      </c>
      <c r="J20" s="82">
        <v>91.186000000000007</v>
      </c>
      <c r="K20" s="78">
        <v>3017.4530724647789</v>
      </c>
      <c r="L20" s="79">
        <v>0</v>
      </c>
      <c r="M20" s="80">
        <v>0.182</v>
      </c>
      <c r="N20" s="79">
        <v>216.44463701881085</v>
      </c>
      <c r="O20" s="82">
        <v>1.1842905164103299</v>
      </c>
      <c r="P20" s="78">
        <v>3234.9</v>
      </c>
      <c r="Q20" s="79">
        <v>0</v>
      </c>
      <c r="R20" s="80">
        <v>0.29560761882157749</v>
      </c>
      <c r="S20" s="79">
        <v>213.4963255705857</v>
      </c>
      <c r="T20" s="82">
        <v>16.499282048235862</v>
      </c>
      <c r="U20" s="81">
        <v>3464.6</v>
      </c>
      <c r="V20" s="79">
        <v>0</v>
      </c>
      <c r="W20" s="80">
        <v>5</v>
      </c>
      <c r="X20" s="79">
        <v>197.70633436033276</v>
      </c>
      <c r="Y20" s="80">
        <v>15.42</v>
      </c>
      <c r="Z20" s="78">
        <v>3672.7263343603327</v>
      </c>
      <c r="AA20" s="79">
        <v>0</v>
      </c>
      <c r="AB20" s="80">
        <v>0</v>
      </c>
      <c r="AC20" s="79">
        <v>197.70633436033276</v>
      </c>
      <c r="AD20" s="80">
        <v>52.078703680000004</v>
      </c>
      <c r="AE20" s="78">
        <v>3922.5113724006656</v>
      </c>
    </row>
    <row r="21" spans="2:31">
      <c r="B21" s="77"/>
      <c r="C21" s="66"/>
      <c r="D21" s="71"/>
      <c r="E21" s="66" t="s">
        <v>118</v>
      </c>
      <c r="F21" s="78">
        <v>10024.800000000001</v>
      </c>
      <c r="G21" s="79">
        <v>0</v>
      </c>
      <c r="H21" s="80">
        <v>13</v>
      </c>
      <c r="I21" s="79">
        <v>0</v>
      </c>
      <c r="J21" s="82">
        <v>0</v>
      </c>
      <c r="K21" s="78">
        <v>10011.800000000001</v>
      </c>
      <c r="L21" s="79">
        <v>0</v>
      </c>
      <c r="M21" s="80">
        <v>24.399999999994179</v>
      </c>
      <c r="N21" s="79">
        <v>0</v>
      </c>
      <c r="O21" s="82">
        <v>0</v>
      </c>
      <c r="P21" s="78">
        <v>9987.4000000000069</v>
      </c>
      <c r="Q21" s="79">
        <v>0</v>
      </c>
      <c r="R21" s="80">
        <v>19.300000000006548</v>
      </c>
      <c r="S21" s="79">
        <v>0</v>
      </c>
      <c r="T21" s="82">
        <v>0</v>
      </c>
      <c r="U21" s="81">
        <v>9968.1</v>
      </c>
      <c r="V21" s="79">
        <v>0</v>
      </c>
      <c r="W21" s="80">
        <v>2.796789151140755</v>
      </c>
      <c r="X21" s="79">
        <v>0</v>
      </c>
      <c r="Y21" s="80">
        <v>0</v>
      </c>
      <c r="Z21" s="78">
        <v>9965.3032108488587</v>
      </c>
      <c r="AA21" s="79">
        <v>0</v>
      </c>
      <c r="AB21" s="80">
        <v>21.91348086338018</v>
      </c>
      <c r="AC21" s="79">
        <v>0</v>
      </c>
      <c r="AD21" s="80">
        <v>0</v>
      </c>
      <c r="AE21" s="78">
        <v>9943.389729985478</v>
      </c>
    </row>
    <row r="22" spans="2:31">
      <c r="B22" s="77"/>
      <c r="C22" s="66"/>
      <c r="D22" s="71"/>
      <c r="E22" s="66" t="s">
        <v>119</v>
      </c>
      <c r="F22" s="78">
        <v>1369652.5083600001</v>
      </c>
      <c r="G22" s="79">
        <v>0</v>
      </c>
      <c r="H22" s="80">
        <v>2873.5083599999998</v>
      </c>
      <c r="I22" s="79">
        <v>11072</v>
      </c>
      <c r="J22" s="82">
        <v>2874</v>
      </c>
      <c r="K22" s="78">
        <v>1380725</v>
      </c>
      <c r="L22" s="79">
        <v>0</v>
      </c>
      <c r="M22" s="80">
        <v>2894</v>
      </c>
      <c r="N22" s="79">
        <v>12439</v>
      </c>
      <c r="O22" s="82">
        <v>2894</v>
      </c>
      <c r="P22" s="78">
        <v>1393164</v>
      </c>
      <c r="Q22" s="79">
        <v>0</v>
      </c>
      <c r="R22" s="80">
        <v>1025</v>
      </c>
      <c r="S22" s="79">
        <v>14908</v>
      </c>
      <c r="T22" s="82">
        <v>1025</v>
      </c>
      <c r="U22" s="81">
        <v>1408072</v>
      </c>
      <c r="V22" s="79">
        <v>2601</v>
      </c>
      <c r="W22" s="80">
        <v>2885</v>
      </c>
      <c r="X22" s="79">
        <v>10161</v>
      </c>
      <c r="Y22" s="80">
        <v>3935</v>
      </c>
      <c r="Z22" s="78">
        <v>1416682</v>
      </c>
      <c r="AA22" s="79">
        <v>2601</v>
      </c>
      <c r="AB22" s="80">
        <v>1917.7712999999999</v>
      </c>
      <c r="AC22" s="79">
        <v>10161</v>
      </c>
      <c r="AD22" s="80">
        <v>4111.4213</v>
      </c>
      <c r="AE22" s="78">
        <v>1426435.6500000001</v>
      </c>
    </row>
    <row r="23" spans="2:31">
      <c r="B23" s="77"/>
      <c r="C23" s="66"/>
      <c r="D23" s="66"/>
      <c r="E23" s="66"/>
      <c r="F23" s="83">
        <v>0</v>
      </c>
      <c r="G23" s="84">
        <v>0</v>
      </c>
      <c r="H23" s="85">
        <v>0</v>
      </c>
      <c r="I23" s="84">
        <v>0</v>
      </c>
      <c r="J23" s="86">
        <v>0</v>
      </c>
      <c r="K23" s="83">
        <v>0</v>
      </c>
      <c r="L23" s="84">
        <v>0</v>
      </c>
      <c r="M23" s="85">
        <v>0</v>
      </c>
      <c r="N23" s="84">
        <v>0</v>
      </c>
      <c r="O23" s="86">
        <v>0</v>
      </c>
      <c r="P23" s="83">
        <v>0</v>
      </c>
      <c r="Q23" s="84">
        <v>0</v>
      </c>
      <c r="R23" s="85">
        <v>0</v>
      </c>
      <c r="S23" s="84">
        <v>0</v>
      </c>
      <c r="T23" s="86">
        <v>0</v>
      </c>
      <c r="U23" s="87">
        <v>0</v>
      </c>
      <c r="V23" s="84">
        <v>0</v>
      </c>
      <c r="W23" s="85">
        <v>0</v>
      </c>
      <c r="X23" s="84">
        <v>0</v>
      </c>
      <c r="Y23" s="85">
        <v>0</v>
      </c>
      <c r="Z23" s="83">
        <v>0</v>
      </c>
      <c r="AA23" s="84">
        <v>0</v>
      </c>
      <c r="AB23" s="85">
        <v>0</v>
      </c>
      <c r="AC23" s="84">
        <v>0</v>
      </c>
      <c r="AD23" s="85">
        <v>0</v>
      </c>
      <c r="AE23" s="83">
        <v>0</v>
      </c>
    </row>
    <row r="24" spans="2:31">
      <c r="B24" s="77"/>
      <c r="C24" s="66"/>
      <c r="D24" s="71" t="s">
        <v>120</v>
      </c>
      <c r="E24" s="66"/>
      <c r="F24" s="83">
        <v>0</v>
      </c>
      <c r="G24" s="84">
        <v>0</v>
      </c>
      <c r="H24" s="85">
        <v>0</v>
      </c>
      <c r="I24" s="84">
        <v>0</v>
      </c>
      <c r="J24" s="86">
        <v>0</v>
      </c>
      <c r="K24" s="83">
        <v>0</v>
      </c>
      <c r="L24" s="84">
        <v>0</v>
      </c>
      <c r="M24" s="85">
        <v>0</v>
      </c>
      <c r="N24" s="84">
        <v>0</v>
      </c>
      <c r="O24" s="86">
        <v>0</v>
      </c>
      <c r="P24" s="83">
        <v>0</v>
      </c>
      <c r="Q24" s="84">
        <v>0</v>
      </c>
      <c r="R24" s="85">
        <v>0</v>
      </c>
      <c r="S24" s="84">
        <v>0</v>
      </c>
      <c r="T24" s="86">
        <v>0</v>
      </c>
      <c r="U24" s="87">
        <v>0</v>
      </c>
      <c r="V24" s="84">
        <v>0</v>
      </c>
      <c r="W24" s="85">
        <v>0</v>
      </c>
      <c r="X24" s="84">
        <v>0</v>
      </c>
      <c r="Y24" s="85">
        <v>0</v>
      </c>
      <c r="Z24" s="83">
        <v>0</v>
      </c>
      <c r="AA24" s="84">
        <v>0</v>
      </c>
      <c r="AB24" s="85">
        <v>0</v>
      </c>
      <c r="AC24" s="84">
        <v>0</v>
      </c>
      <c r="AD24" s="85">
        <v>0</v>
      </c>
      <c r="AE24" s="83">
        <v>0</v>
      </c>
    </row>
    <row r="25" spans="2:31">
      <c r="B25" s="77"/>
      <c r="C25" s="66"/>
      <c r="D25" s="71"/>
      <c r="E25" s="66" t="s">
        <v>121</v>
      </c>
      <c r="F25" s="78">
        <v>1306</v>
      </c>
      <c r="G25" s="79">
        <v>0</v>
      </c>
      <c r="H25" s="80">
        <v>6</v>
      </c>
      <c r="I25" s="79">
        <v>0</v>
      </c>
      <c r="J25" s="82">
        <v>17</v>
      </c>
      <c r="K25" s="78">
        <v>1317</v>
      </c>
      <c r="L25" s="79">
        <v>0</v>
      </c>
      <c r="M25" s="80">
        <v>14</v>
      </c>
      <c r="N25" s="79">
        <v>1.9992999649982499</v>
      </c>
      <c r="O25" s="82">
        <v>14.000700035001751</v>
      </c>
      <c r="P25" s="78">
        <v>1319</v>
      </c>
      <c r="Q25" s="79">
        <v>0</v>
      </c>
      <c r="R25" s="80">
        <v>32</v>
      </c>
      <c r="S25" s="79">
        <v>2</v>
      </c>
      <c r="T25" s="82">
        <v>78</v>
      </c>
      <c r="U25" s="81">
        <v>1367</v>
      </c>
      <c r="V25" s="79">
        <v>0</v>
      </c>
      <c r="W25" s="80">
        <v>0</v>
      </c>
      <c r="X25" s="79">
        <v>71</v>
      </c>
      <c r="Y25" s="80">
        <v>23</v>
      </c>
      <c r="Z25" s="78">
        <v>1461</v>
      </c>
      <c r="AA25" s="79">
        <v>0</v>
      </c>
      <c r="AB25" s="80">
        <v>0</v>
      </c>
      <c r="AC25" s="79">
        <v>71</v>
      </c>
      <c r="AD25" s="80">
        <v>49</v>
      </c>
      <c r="AE25" s="78">
        <v>1581</v>
      </c>
    </row>
    <row r="26" spans="2:31">
      <c r="B26" s="77"/>
      <c r="C26" s="66"/>
      <c r="D26" s="71"/>
      <c r="E26" s="66" t="s">
        <v>122</v>
      </c>
      <c r="F26" s="78">
        <v>2649</v>
      </c>
      <c r="G26" s="79">
        <v>0</v>
      </c>
      <c r="H26" s="80">
        <v>100</v>
      </c>
      <c r="I26" s="79">
        <v>0</v>
      </c>
      <c r="J26" s="82">
        <v>0</v>
      </c>
      <c r="K26" s="78">
        <v>2549</v>
      </c>
      <c r="L26" s="79">
        <v>0</v>
      </c>
      <c r="M26" s="80">
        <v>39</v>
      </c>
      <c r="N26" s="79">
        <v>0</v>
      </c>
      <c r="O26" s="82">
        <v>1</v>
      </c>
      <c r="P26" s="78">
        <v>2511</v>
      </c>
      <c r="Q26" s="79">
        <v>0</v>
      </c>
      <c r="R26" s="80">
        <v>67</v>
      </c>
      <c r="S26" s="79">
        <v>0</v>
      </c>
      <c r="T26" s="82">
        <v>0</v>
      </c>
      <c r="U26" s="81">
        <v>2444</v>
      </c>
      <c r="V26" s="79">
        <v>0</v>
      </c>
      <c r="W26" s="80">
        <v>40</v>
      </c>
      <c r="X26" s="79">
        <v>0</v>
      </c>
      <c r="Y26" s="80">
        <v>16</v>
      </c>
      <c r="Z26" s="78">
        <v>2420</v>
      </c>
      <c r="AA26" s="79">
        <v>0</v>
      </c>
      <c r="AB26" s="80">
        <v>125</v>
      </c>
      <c r="AC26" s="79">
        <v>0</v>
      </c>
      <c r="AD26" s="80">
        <v>64</v>
      </c>
      <c r="AE26" s="78">
        <v>2359</v>
      </c>
    </row>
    <row r="27" spans="2:31">
      <c r="B27" s="77"/>
      <c r="C27" s="66"/>
      <c r="D27" s="71"/>
      <c r="E27" s="66" t="s">
        <v>123</v>
      </c>
      <c r="F27" s="78">
        <v>5621.4475400000001</v>
      </c>
      <c r="G27" s="79">
        <v>0</v>
      </c>
      <c r="H27" s="80">
        <v>118.44754</v>
      </c>
      <c r="I27" s="79">
        <v>0</v>
      </c>
      <c r="J27" s="82">
        <v>118</v>
      </c>
      <c r="K27" s="78">
        <v>5621</v>
      </c>
      <c r="L27" s="79">
        <v>0</v>
      </c>
      <c r="M27" s="80">
        <v>4</v>
      </c>
      <c r="N27" s="79">
        <v>150</v>
      </c>
      <c r="O27" s="82">
        <v>4</v>
      </c>
      <c r="P27" s="78">
        <v>5771</v>
      </c>
      <c r="Q27" s="79">
        <v>0</v>
      </c>
      <c r="R27" s="80">
        <v>0</v>
      </c>
      <c r="S27" s="79">
        <v>17.762114537444933</v>
      </c>
      <c r="T27" s="82">
        <v>0.2378854625550661</v>
      </c>
      <c r="U27" s="81">
        <v>5789</v>
      </c>
      <c r="V27" s="79">
        <v>0</v>
      </c>
      <c r="W27" s="80">
        <v>18</v>
      </c>
      <c r="X27" s="79">
        <v>32</v>
      </c>
      <c r="Y27" s="80">
        <v>11</v>
      </c>
      <c r="Z27" s="78">
        <v>5814</v>
      </c>
      <c r="AA27" s="79">
        <v>0</v>
      </c>
      <c r="AB27" s="80">
        <v>45</v>
      </c>
      <c r="AC27" s="79">
        <v>32</v>
      </c>
      <c r="AD27" s="80">
        <v>31</v>
      </c>
      <c r="AE27" s="78">
        <v>5832</v>
      </c>
    </row>
    <row r="28" spans="2:31">
      <c r="B28" s="77"/>
      <c r="C28" s="66"/>
      <c r="D28" s="71"/>
      <c r="E28" s="66" t="s">
        <v>124</v>
      </c>
      <c r="F28" s="78">
        <v>9178.6076129829398</v>
      </c>
      <c r="G28" s="79">
        <v>0</v>
      </c>
      <c r="H28" s="80">
        <v>31</v>
      </c>
      <c r="I28" s="79">
        <v>0</v>
      </c>
      <c r="J28" s="82">
        <v>89.392387017060287</v>
      </c>
      <c r="K28" s="78">
        <v>9237</v>
      </c>
      <c r="L28" s="79">
        <v>0</v>
      </c>
      <c r="M28" s="80">
        <v>43</v>
      </c>
      <c r="N28" s="79">
        <v>120.10526315789475</v>
      </c>
      <c r="O28" s="82">
        <v>42.89473684210526</v>
      </c>
      <c r="P28" s="78">
        <v>9357</v>
      </c>
      <c r="Q28" s="79">
        <v>0</v>
      </c>
      <c r="R28" s="80">
        <v>83</v>
      </c>
      <c r="S28" s="79">
        <v>56</v>
      </c>
      <c r="T28" s="82">
        <v>83</v>
      </c>
      <c r="U28" s="81">
        <v>9413</v>
      </c>
      <c r="V28" s="79">
        <v>0</v>
      </c>
      <c r="W28" s="80">
        <v>25</v>
      </c>
      <c r="X28" s="79">
        <v>0</v>
      </c>
      <c r="Y28" s="80">
        <v>33</v>
      </c>
      <c r="Z28" s="78">
        <v>9421</v>
      </c>
      <c r="AA28" s="79">
        <v>0</v>
      </c>
      <c r="AB28" s="80">
        <v>159</v>
      </c>
      <c r="AC28" s="79">
        <v>0</v>
      </c>
      <c r="AD28" s="80">
        <v>185</v>
      </c>
      <c r="AE28" s="78">
        <v>9447</v>
      </c>
    </row>
    <row r="29" spans="2:31">
      <c r="B29" s="77"/>
      <c r="C29" s="66"/>
      <c r="D29" s="71"/>
      <c r="E29" s="66" t="s">
        <v>125</v>
      </c>
      <c r="F29" s="78">
        <v>16217.17</v>
      </c>
      <c r="G29" s="79">
        <v>0</v>
      </c>
      <c r="H29" s="80">
        <v>133</v>
      </c>
      <c r="I29" s="79">
        <v>0</v>
      </c>
      <c r="J29" s="82">
        <v>133</v>
      </c>
      <c r="K29" s="78">
        <v>16217.17</v>
      </c>
      <c r="L29" s="79">
        <v>0</v>
      </c>
      <c r="M29" s="80">
        <v>346.00000000000546</v>
      </c>
      <c r="N29" s="79">
        <v>12.986090198116466</v>
      </c>
      <c r="O29" s="82">
        <v>347.84170173526252</v>
      </c>
      <c r="P29" s="78">
        <v>16231.997791933374</v>
      </c>
      <c r="Q29" s="79">
        <v>0</v>
      </c>
      <c r="R29" s="80">
        <v>182.99779193337417</v>
      </c>
      <c r="S29" s="79">
        <v>6.8380462724935738</v>
      </c>
      <c r="T29" s="82">
        <v>183.16195372750644</v>
      </c>
      <c r="U29" s="81">
        <v>16239</v>
      </c>
      <c r="V29" s="79">
        <v>0</v>
      </c>
      <c r="W29" s="80">
        <v>0</v>
      </c>
      <c r="X29" s="79">
        <v>0</v>
      </c>
      <c r="Y29" s="80">
        <v>0</v>
      </c>
      <c r="Z29" s="78">
        <v>16239</v>
      </c>
      <c r="AA29" s="79">
        <v>0</v>
      </c>
      <c r="AB29" s="80">
        <v>0</v>
      </c>
      <c r="AC29" s="79">
        <v>0</v>
      </c>
      <c r="AD29" s="80">
        <v>0</v>
      </c>
      <c r="AE29" s="78">
        <v>16239</v>
      </c>
    </row>
    <row r="30" spans="2:31">
      <c r="B30" s="77"/>
      <c r="C30" s="66"/>
      <c r="D30" s="71"/>
      <c r="E30" s="66" t="s">
        <v>126</v>
      </c>
      <c r="F30" s="78">
        <v>0</v>
      </c>
      <c r="G30" s="79">
        <v>0</v>
      </c>
      <c r="H30" s="80">
        <v>0</v>
      </c>
      <c r="I30" s="79">
        <v>0</v>
      </c>
      <c r="J30" s="82">
        <v>0</v>
      </c>
      <c r="K30" s="78">
        <v>0</v>
      </c>
      <c r="L30" s="79">
        <v>0</v>
      </c>
      <c r="M30" s="80">
        <v>0</v>
      </c>
      <c r="N30" s="79">
        <v>0</v>
      </c>
      <c r="O30" s="82">
        <v>0</v>
      </c>
      <c r="P30" s="78">
        <v>0</v>
      </c>
      <c r="Q30" s="79">
        <v>0</v>
      </c>
      <c r="R30" s="80">
        <v>0</v>
      </c>
      <c r="S30" s="79">
        <v>0</v>
      </c>
      <c r="T30" s="82">
        <v>0</v>
      </c>
      <c r="U30" s="81">
        <v>0</v>
      </c>
      <c r="V30" s="79">
        <v>0</v>
      </c>
      <c r="W30" s="80">
        <v>0</v>
      </c>
      <c r="X30" s="79">
        <v>0</v>
      </c>
      <c r="Y30" s="80">
        <v>0</v>
      </c>
      <c r="Z30" s="78">
        <v>0</v>
      </c>
      <c r="AA30" s="79">
        <v>0</v>
      </c>
      <c r="AB30" s="80">
        <v>0</v>
      </c>
      <c r="AC30" s="79">
        <v>0</v>
      </c>
      <c r="AD30" s="80">
        <v>0</v>
      </c>
      <c r="AE30" s="78">
        <v>0</v>
      </c>
    </row>
    <row r="31" spans="2:31" ht="13.5" thickBot="1">
      <c r="B31" s="88"/>
      <c r="C31" s="89"/>
      <c r="D31" s="89"/>
      <c r="E31" s="89"/>
      <c r="F31" s="90">
        <v>0</v>
      </c>
      <c r="G31" s="91">
        <v>0</v>
      </c>
      <c r="H31" s="92">
        <v>0</v>
      </c>
      <c r="I31" s="91">
        <v>0</v>
      </c>
      <c r="J31" s="93">
        <v>0</v>
      </c>
      <c r="K31" s="94">
        <v>0</v>
      </c>
      <c r="L31" s="91">
        <v>0</v>
      </c>
      <c r="M31" s="92">
        <v>0</v>
      </c>
      <c r="N31" s="91">
        <v>0</v>
      </c>
      <c r="O31" s="93">
        <v>0</v>
      </c>
      <c r="P31" s="94">
        <v>0</v>
      </c>
      <c r="Q31" s="91">
        <v>0</v>
      </c>
      <c r="R31" s="92">
        <v>0</v>
      </c>
      <c r="S31" s="91">
        <v>0</v>
      </c>
      <c r="T31" s="93">
        <v>0</v>
      </c>
      <c r="U31" s="95">
        <v>0</v>
      </c>
      <c r="V31" s="91">
        <v>0</v>
      </c>
      <c r="W31" s="92">
        <v>0</v>
      </c>
      <c r="X31" s="91">
        <v>0</v>
      </c>
      <c r="Y31" s="92">
        <v>0</v>
      </c>
      <c r="Z31" s="94">
        <v>0</v>
      </c>
      <c r="AA31" s="91">
        <v>0</v>
      </c>
      <c r="AB31" s="92">
        <v>0</v>
      </c>
      <c r="AC31" s="91">
        <v>0</v>
      </c>
      <c r="AD31" s="92">
        <v>0</v>
      </c>
      <c r="AE31" s="94">
        <v>0</v>
      </c>
    </row>
    <row r="32" spans="2:31">
      <c r="B32" s="96"/>
      <c r="C32" s="97" t="s">
        <v>127</v>
      </c>
      <c r="D32" s="97"/>
      <c r="E32" s="98"/>
      <c r="F32" s="83">
        <v>0</v>
      </c>
      <c r="G32" s="84">
        <v>0</v>
      </c>
      <c r="H32" s="85">
        <v>0</v>
      </c>
      <c r="I32" s="84">
        <v>0</v>
      </c>
      <c r="J32" s="86">
        <v>0</v>
      </c>
      <c r="K32" s="83">
        <v>0</v>
      </c>
      <c r="L32" s="84">
        <v>0</v>
      </c>
      <c r="M32" s="85">
        <v>0</v>
      </c>
      <c r="N32" s="84">
        <v>0</v>
      </c>
      <c r="O32" s="86">
        <v>0</v>
      </c>
      <c r="P32" s="83">
        <v>0</v>
      </c>
      <c r="Q32" s="84">
        <v>0</v>
      </c>
      <c r="R32" s="85">
        <v>0</v>
      </c>
      <c r="S32" s="84">
        <v>0</v>
      </c>
      <c r="T32" s="86">
        <v>0</v>
      </c>
      <c r="U32" s="87">
        <v>0</v>
      </c>
      <c r="V32" s="84">
        <v>0</v>
      </c>
      <c r="W32" s="85">
        <v>0</v>
      </c>
      <c r="X32" s="84">
        <v>0</v>
      </c>
      <c r="Y32" s="85">
        <v>0</v>
      </c>
      <c r="Z32" s="83">
        <v>0</v>
      </c>
      <c r="AA32" s="84">
        <v>0</v>
      </c>
      <c r="AB32" s="85">
        <v>0</v>
      </c>
      <c r="AC32" s="84">
        <v>0</v>
      </c>
      <c r="AD32" s="85">
        <v>0</v>
      </c>
      <c r="AE32" s="83">
        <v>0</v>
      </c>
    </row>
    <row r="33" spans="2:31">
      <c r="B33" s="77"/>
      <c r="C33" s="66"/>
      <c r="D33" s="71" t="s">
        <v>110</v>
      </c>
      <c r="E33" s="66"/>
      <c r="F33" s="83">
        <v>0</v>
      </c>
      <c r="G33" s="84">
        <v>0</v>
      </c>
      <c r="H33" s="85">
        <v>0</v>
      </c>
      <c r="I33" s="84">
        <v>0</v>
      </c>
      <c r="J33" s="86">
        <v>0</v>
      </c>
      <c r="K33" s="83">
        <v>0</v>
      </c>
      <c r="L33" s="84">
        <v>0</v>
      </c>
      <c r="M33" s="85">
        <v>0</v>
      </c>
      <c r="N33" s="84">
        <v>0</v>
      </c>
      <c r="O33" s="86">
        <v>0</v>
      </c>
      <c r="P33" s="83">
        <v>0</v>
      </c>
      <c r="Q33" s="84">
        <v>0</v>
      </c>
      <c r="R33" s="85">
        <v>0</v>
      </c>
      <c r="S33" s="84">
        <v>0</v>
      </c>
      <c r="T33" s="86">
        <v>0</v>
      </c>
      <c r="U33" s="87">
        <v>0</v>
      </c>
      <c r="V33" s="84">
        <v>0</v>
      </c>
      <c r="W33" s="85">
        <v>0</v>
      </c>
      <c r="X33" s="84">
        <v>0</v>
      </c>
      <c r="Y33" s="85">
        <v>0</v>
      </c>
      <c r="Z33" s="83">
        <v>0</v>
      </c>
      <c r="AA33" s="84">
        <v>0</v>
      </c>
      <c r="AB33" s="85">
        <v>0</v>
      </c>
      <c r="AC33" s="84">
        <v>0</v>
      </c>
      <c r="AD33" s="85">
        <v>0</v>
      </c>
      <c r="AE33" s="83">
        <v>0</v>
      </c>
    </row>
    <row r="34" spans="2:31">
      <c r="B34" s="77"/>
      <c r="C34" s="66"/>
      <c r="D34" s="71"/>
      <c r="E34" s="66" t="s">
        <v>128</v>
      </c>
      <c r="F34" s="78">
        <v>5253.7530508404334</v>
      </c>
      <c r="G34" s="79">
        <v>0</v>
      </c>
      <c r="H34" s="80">
        <v>45.650859999999994</v>
      </c>
      <c r="I34" s="79">
        <v>2.9998643011469674</v>
      </c>
      <c r="J34" s="82">
        <v>45.651000000000003</v>
      </c>
      <c r="K34" s="78">
        <v>5256.7530551415803</v>
      </c>
      <c r="L34" s="79">
        <v>0</v>
      </c>
      <c r="M34" s="80">
        <v>33.370055141579734</v>
      </c>
      <c r="N34" s="79">
        <v>0</v>
      </c>
      <c r="O34" s="82">
        <v>33.216999999999999</v>
      </c>
      <c r="P34" s="78">
        <v>5256.6</v>
      </c>
      <c r="Q34" s="79">
        <v>0</v>
      </c>
      <c r="R34" s="80">
        <v>12.667999999999665</v>
      </c>
      <c r="S34" s="79">
        <v>0</v>
      </c>
      <c r="T34" s="82">
        <v>12.167999999999999</v>
      </c>
      <c r="U34" s="81">
        <v>5256.1</v>
      </c>
      <c r="V34" s="79">
        <v>0</v>
      </c>
      <c r="W34" s="80">
        <v>26.475893107482285</v>
      </c>
      <c r="X34" s="79">
        <v>0</v>
      </c>
      <c r="Y34" s="80">
        <v>26.475893107482282</v>
      </c>
      <c r="Z34" s="78">
        <v>5256.1</v>
      </c>
      <c r="AA34" s="79">
        <v>0</v>
      </c>
      <c r="AB34" s="80">
        <v>27.90173851907069</v>
      </c>
      <c r="AC34" s="79">
        <v>0</v>
      </c>
      <c r="AD34" s="80">
        <v>28.192710039070686</v>
      </c>
      <c r="AE34" s="78">
        <v>5256.3909715199998</v>
      </c>
    </row>
    <row r="35" spans="2:31">
      <c r="B35" s="77"/>
      <c r="C35" s="66"/>
      <c r="D35" s="71"/>
      <c r="E35" s="66" t="s">
        <v>129</v>
      </c>
      <c r="F35" s="78">
        <v>4.0150551415797313</v>
      </c>
      <c r="G35" s="79">
        <v>0</v>
      </c>
      <c r="H35" s="80">
        <v>0</v>
      </c>
      <c r="I35" s="79">
        <v>0</v>
      </c>
      <c r="J35" s="82">
        <v>0</v>
      </c>
      <c r="K35" s="78">
        <v>4.0150551415797313</v>
      </c>
      <c r="L35" s="79">
        <v>0</v>
      </c>
      <c r="M35" s="80">
        <v>0.15305514157973166</v>
      </c>
      <c r="N35" s="79">
        <v>0</v>
      </c>
      <c r="O35" s="82">
        <v>0.158</v>
      </c>
      <c r="P35" s="78">
        <v>4.0199999999999996</v>
      </c>
      <c r="Q35" s="79">
        <v>0</v>
      </c>
      <c r="R35" s="80">
        <v>0</v>
      </c>
      <c r="S35" s="79">
        <v>0</v>
      </c>
      <c r="T35" s="82">
        <v>0.08</v>
      </c>
      <c r="U35" s="81">
        <v>4.0999999999999996</v>
      </c>
      <c r="V35" s="79">
        <v>0</v>
      </c>
      <c r="W35" s="80">
        <v>0</v>
      </c>
      <c r="X35" s="79">
        <v>1.6659999999999999</v>
      </c>
      <c r="Y35" s="80">
        <v>0</v>
      </c>
      <c r="Z35" s="78">
        <v>5.766</v>
      </c>
      <c r="AA35" s="79">
        <v>0</v>
      </c>
      <c r="AB35" s="80">
        <v>0</v>
      </c>
      <c r="AC35" s="79">
        <v>1.6659999999999999</v>
      </c>
      <c r="AD35" s="80">
        <v>0</v>
      </c>
      <c r="AE35" s="78">
        <v>7.4320000000000004</v>
      </c>
    </row>
    <row r="36" spans="2:31">
      <c r="B36" s="77"/>
      <c r="C36" s="66"/>
      <c r="D36" s="66"/>
      <c r="E36" s="66" t="s">
        <v>130</v>
      </c>
      <c r="F36" s="78">
        <v>5082.8049448584225</v>
      </c>
      <c r="G36" s="79">
        <v>0</v>
      </c>
      <c r="H36" s="80">
        <v>45.036700000002384</v>
      </c>
      <c r="I36" s="79">
        <v>2.9998492284657945</v>
      </c>
      <c r="J36" s="82">
        <v>45.036850771534205</v>
      </c>
      <c r="K36" s="78">
        <v>5085.8049448584197</v>
      </c>
      <c r="L36" s="79">
        <v>0</v>
      </c>
      <c r="M36" s="80">
        <v>23.434944858418021</v>
      </c>
      <c r="N36" s="79">
        <v>0</v>
      </c>
      <c r="O36" s="82">
        <v>24.63</v>
      </c>
      <c r="P36" s="78">
        <v>5087.0000000000018</v>
      </c>
      <c r="Q36" s="79">
        <v>0</v>
      </c>
      <c r="R36" s="80">
        <v>14.880000000001928</v>
      </c>
      <c r="S36" s="79">
        <v>0</v>
      </c>
      <c r="T36" s="82">
        <v>14.88</v>
      </c>
      <c r="U36" s="81">
        <v>5087</v>
      </c>
      <c r="V36" s="79">
        <v>0</v>
      </c>
      <c r="W36" s="80">
        <v>25.624106892517716</v>
      </c>
      <c r="X36" s="79">
        <v>0</v>
      </c>
      <c r="Y36" s="80">
        <v>25.624106892517716</v>
      </c>
      <c r="Z36" s="78">
        <v>5087</v>
      </c>
      <c r="AA36" s="79">
        <v>0</v>
      </c>
      <c r="AB36" s="80">
        <v>26.124047480929313</v>
      </c>
      <c r="AC36" s="79">
        <v>0</v>
      </c>
      <c r="AD36" s="80">
        <v>26.124047480929313</v>
      </c>
      <c r="AE36" s="78">
        <v>5087</v>
      </c>
    </row>
    <row r="37" spans="2:31">
      <c r="B37" s="77"/>
      <c r="C37" s="66"/>
      <c r="D37" s="66"/>
      <c r="E37" s="66" t="s">
        <v>131</v>
      </c>
      <c r="F37" s="78">
        <v>8.3401999999999994</v>
      </c>
      <c r="G37" s="79">
        <v>0</v>
      </c>
      <c r="H37" s="80">
        <v>0</v>
      </c>
      <c r="I37" s="79">
        <v>1.5690018934271029E-3</v>
      </c>
      <c r="J37" s="82">
        <v>5.8230998106572895E-2</v>
      </c>
      <c r="K37" s="78">
        <v>8.3999999999999986</v>
      </c>
      <c r="L37" s="79">
        <v>0</v>
      </c>
      <c r="M37" s="80">
        <v>0.32999999999999918</v>
      </c>
      <c r="N37" s="79">
        <v>0</v>
      </c>
      <c r="O37" s="82">
        <v>0.33</v>
      </c>
      <c r="P37" s="78">
        <v>8.4</v>
      </c>
      <c r="Q37" s="79">
        <v>0</v>
      </c>
      <c r="R37" s="80">
        <v>0.32099999999999973</v>
      </c>
      <c r="S37" s="79">
        <v>0</v>
      </c>
      <c r="T37" s="82">
        <v>0.32100000000000001</v>
      </c>
      <c r="U37" s="81">
        <v>8.4</v>
      </c>
      <c r="V37" s="79">
        <v>0</v>
      </c>
      <c r="W37" s="80">
        <v>0</v>
      </c>
      <c r="X37" s="79">
        <v>0</v>
      </c>
      <c r="Y37" s="80">
        <v>0</v>
      </c>
      <c r="Z37" s="78">
        <v>8.4</v>
      </c>
      <c r="AA37" s="79">
        <v>0</v>
      </c>
      <c r="AB37" s="80">
        <v>0</v>
      </c>
      <c r="AC37" s="79">
        <v>0</v>
      </c>
      <c r="AD37" s="80">
        <v>0</v>
      </c>
      <c r="AE37" s="78">
        <v>8.4</v>
      </c>
    </row>
    <row r="38" spans="2:31">
      <c r="B38" s="77"/>
      <c r="C38" s="66"/>
      <c r="D38" s="66"/>
      <c r="E38" s="66"/>
      <c r="F38" s="83">
        <v>0</v>
      </c>
      <c r="G38" s="84">
        <v>0</v>
      </c>
      <c r="H38" s="85">
        <v>0</v>
      </c>
      <c r="I38" s="84">
        <v>0</v>
      </c>
      <c r="J38" s="86">
        <v>0</v>
      </c>
      <c r="K38" s="83">
        <v>0</v>
      </c>
      <c r="L38" s="84">
        <v>0</v>
      </c>
      <c r="M38" s="85">
        <v>0</v>
      </c>
      <c r="N38" s="84">
        <v>0</v>
      </c>
      <c r="O38" s="86">
        <v>0</v>
      </c>
      <c r="P38" s="83">
        <v>0</v>
      </c>
      <c r="Q38" s="84">
        <v>0</v>
      </c>
      <c r="R38" s="85">
        <v>0</v>
      </c>
      <c r="S38" s="84">
        <v>0</v>
      </c>
      <c r="T38" s="86">
        <v>0</v>
      </c>
      <c r="U38" s="87">
        <v>0</v>
      </c>
      <c r="V38" s="84">
        <v>0</v>
      </c>
      <c r="W38" s="85">
        <v>0</v>
      </c>
      <c r="X38" s="84">
        <v>0</v>
      </c>
      <c r="Y38" s="85">
        <v>0</v>
      </c>
      <c r="Z38" s="83">
        <v>0</v>
      </c>
      <c r="AA38" s="84">
        <v>0</v>
      </c>
      <c r="AB38" s="85">
        <v>0</v>
      </c>
      <c r="AC38" s="84">
        <v>0</v>
      </c>
      <c r="AD38" s="85">
        <v>0</v>
      </c>
      <c r="AE38" s="83">
        <v>0</v>
      </c>
    </row>
    <row r="39" spans="2:31">
      <c r="B39" s="77"/>
      <c r="C39" s="66"/>
      <c r="D39" s="71" t="s">
        <v>113</v>
      </c>
      <c r="E39" s="66"/>
      <c r="F39" s="83">
        <v>0</v>
      </c>
      <c r="G39" s="84">
        <v>0</v>
      </c>
      <c r="H39" s="85">
        <v>0</v>
      </c>
      <c r="I39" s="84">
        <v>0</v>
      </c>
      <c r="J39" s="86">
        <v>0</v>
      </c>
      <c r="K39" s="83">
        <v>0</v>
      </c>
      <c r="L39" s="84">
        <v>0</v>
      </c>
      <c r="M39" s="85">
        <v>0</v>
      </c>
      <c r="N39" s="84">
        <v>0</v>
      </c>
      <c r="O39" s="86">
        <v>0</v>
      </c>
      <c r="P39" s="83">
        <v>0</v>
      </c>
      <c r="Q39" s="84">
        <v>0</v>
      </c>
      <c r="R39" s="85">
        <v>0</v>
      </c>
      <c r="S39" s="84">
        <v>0</v>
      </c>
      <c r="T39" s="86">
        <v>0</v>
      </c>
      <c r="U39" s="87">
        <v>0</v>
      </c>
      <c r="V39" s="84">
        <v>0</v>
      </c>
      <c r="W39" s="85">
        <v>0</v>
      </c>
      <c r="X39" s="84">
        <v>0</v>
      </c>
      <c r="Y39" s="85">
        <v>0</v>
      </c>
      <c r="Z39" s="83">
        <v>0</v>
      </c>
      <c r="AA39" s="84">
        <v>0</v>
      </c>
      <c r="AB39" s="85">
        <v>0</v>
      </c>
      <c r="AC39" s="84">
        <v>0</v>
      </c>
      <c r="AD39" s="85">
        <v>0</v>
      </c>
      <c r="AE39" s="83">
        <v>0</v>
      </c>
    </row>
    <row r="40" spans="2:31">
      <c r="B40" s="77"/>
      <c r="C40" s="66"/>
      <c r="D40" s="98"/>
      <c r="E40" s="66" t="s">
        <v>132</v>
      </c>
      <c r="F40" s="78">
        <v>63724.999999999993</v>
      </c>
      <c r="G40" s="79">
        <v>0</v>
      </c>
      <c r="H40" s="80">
        <v>598</v>
      </c>
      <c r="I40" s="79">
        <v>25</v>
      </c>
      <c r="J40" s="82">
        <v>598</v>
      </c>
      <c r="K40" s="78">
        <v>63749.999999999993</v>
      </c>
      <c r="L40" s="79">
        <v>0</v>
      </c>
      <c r="M40" s="80">
        <v>392</v>
      </c>
      <c r="N40" s="79">
        <v>101</v>
      </c>
      <c r="O40" s="82">
        <v>304</v>
      </c>
      <c r="P40" s="78">
        <v>63762.999999999993</v>
      </c>
      <c r="Q40" s="79">
        <v>0</v>
      </c>
      <c r="R40" s="80">
        <v>248.99999999999272</v>
      </c>
      <c r="S40" s="79">
        <v>44.674094707520894</v>
      </c>
      <c r="T40" s="82">
        <v>117.32590529247912</v>
      </c>
      <c r="U40" s="81">
        <v>63676</v>
      </c>
      <c r="V40" s="79">
        <v>0</v>
      </c>
      <c r="W40" s="80">
        <v>276</v>
      </c>
      <c r="X40" s="79">
        <v>0</v>
      </c>
      <c r="Y40" s="80">
        <v>276</v>
      </c>
      <c r="Z40" s="78">
        <v>63676</v>
      </c>
      <c r="AA40" s="79">
        <v>0</v>
      </c>
      <c r="AB40" s="80">
        <v>341</v>
      </c>
      <c r="AC40" s="79">
        <v>0</v>
      </c>
      <c r="AD40" s="80">
        <v>341</v>
      </c>
      <c r="AE40" s="78">
        <v>63676</v>
      </c>
    </row>
    <row r="41" spans="2:31">
      <c r="B41" s="77"/>
      <c r="C41" s="66"/>
      <c r="D41" s="71"/>
      <c r="E41" s="66" t="s">
        <v>133</v>
      </c>
      <c r="F41" s="78">
        <v>64348</v>
      </c>
      <c r="G41" s="79">
        <v>0</v>
      </c>
      <c r="H41" s="80">
        <v>445</v>
      </c>
      <c r="I41" s="79">
        <v>25</v>
      </c>
      <c r="J41" s="82">
        <v>445</v>
      </c>
      <c r="K41" s="78">
        <v>64373</v>
      </c>
      <c r="L41" s="79">
        <v>0</v>
      </c>
      <c r="M41" s="80">
        <v>258</v>
      </c>
      <c r="N41" s="79">
        <v>98.432122370936909</v>
      </c>
      <c r="O41" s="82">
        <v>161.56787762906308</v>
      </c>
      <c r="P41" s="78">
        <v>64375</v>
      </c>
      <c r="Q41" s="79">
        <v>0</v>
      </c>
      <c r="R41" s="80">
        <v>131</v>
      </c>
      <c r="S41" s="79">
        <v>79.881453154875729</v>
      </c>
      <c r="T41" s="82">
        <v>131.11854684512426</v>
      </c>
      <c r="U41" s="81">
        <v>64455</v>
      </c>
      <c r="V41" s="79">
        <v>0</v>
      </c>
      <c r="W41" s="80">
        <v>279</v>
      </c>
      <c r="X41" s="79">
        <v>0</v>
      </c>
      <c r="Y41" s="80">
        <v>279</v>
      </c>
      <c r="Z41" s="78">
        <v>64455</v>
      </c>
      <c r="AA41" s="79">
        <v>0</v>
      </c>
      <c r="AB41" s="80">
        <v>345</v>
      </c>
      <c r="AC41" s="79">
        <v>0</v>
      </c>
      <c r="AD41" s="80">
        <v>345</v>
      </c>
      <c r="AE41" s="78">
        <v>64455</v>
      </c>
    </row>
    <row r="42" spans="2:31">
      <c r="B42" s="77"/>
      <c r="C42" s="66"/>
      <c r="D42" s="66"/>
      <c r="E42" s="66"/>
      <c r="F42" s="83">
        <v>0</v>
      </c>
      <c r="G42" s="84">
        <v>0</v>
      </c>
      <c r="H42" s="85">
        <v>0</v>
      </c>
      <c r="I42" s="84">
        <v>0</v>
      </c>
      <c r="J42" s="86">
        <v>0</v>
      </c>
      <c r="K42" s="83">
        <v>0</v>
      </c>
      <c r="L42" s="84">
        <v>0</v>
      </c>
      <c r="M42" s="85">
        <v>0</v>
      </c>
      <c r="N42" s="84">
        <v>0</v>
      </c>
      <c r="O42" s="86">
        <v>0</v>
      </c>
      <c r="P42" s="83">
        <v>0</v>
      </c>
      <c r="Q42" s="84">
        <v>0</v>
      </c>
      <c r="R42" s="85">
        <v>0</v>
      </c>
      <c r="S42" s="84">
        <v>0</v>
      </c>
      <c r="T42" s="86">
        <v>0</v>
      </c>
      <c r="U42" s="87">
        <v>0</v>
      </c>
      <c r="V42" s="84">
        <v>0</v>
      </c>
      <c r="W42" s="85">
        <v>0</v>
      </c>
      <c r="X42" s="84">
        <v>0</v>
      </c>
      <c r="Y42" s="85">
        <v>0</v>
      </c>
      <c r="Z42" s="83">
        <v>0</v>
      </c>
      <c r="AA42" s="84">
        <v>0</v>
      </c>
      <c r="AB42" s="85">
        <v>0</v>
      </c>
      <c r="AC42" s="84">
        <v>0</v>
      </c>
      <c r="AD42" s="85">
        <v>0</v>
      </c>
      <c r="AE42" s="83">
        <v>0</v>
      </c>
    </row>
    <row r="43" spans="2:31">
      <c r="B43" s="77"/>
      <c r="C43" s="66"/>
      <c r="D43" s="71" t="s">
        <v>134</v>
      </c>
      <c r="E43" s="66"/>
      <c r="F43" s="83">
        <v>0</v>
      </c>
      <c r="G43" s="84">
        <v>0</v>
      </c>
      <c r="H43" s="85">
        <v>0</v>
      </c>
      <c r="I43" s="84">
        <v>0</v>
      </c>
      <c r="J43" s="86">
        <v>0</v>
      </c>
      <c r="K43" s="83">
        <v>0</v>
      </c>
      <c r="L43" s="84">
        <v>0</v>
      </c>
      <c r="M43" s="85">
        <v>0</v>
      </c>
      <c r="N43" s="84">
        <v>0</v>
      </c>
      <c r="O43" s="86">
        <v>0</v>
      </c>
      <c r="P43" s="83">
        <v>0</v>
      </c>
      <c r="Q43" s="84">
        <v>0</v>
      </c>
      <c r="R43" s="85">
        <v>0</v>
      </c>
      <c r="S43" s="84">
        <v>0</v>
      </c>
      <c r="T43" s="86">
        <v>0</v>
      </c>
      <c r="U43" s="87">
        <v>0</v>
      </c>
      <c r="V43" s="84">
        <v>0</v>
      </c>
      <c r="W43" s="85">
        <v>0</v>
      </c>
      <c r="X43" s="84">
        <v>0</v>
      </c>
      <c r="Y43" s="85">
        <v>0</v>
      </c>
      <c r="Z43" s="83">
        <v>0</v>
      </c>
      <c r="AA43" s="84">
        <v>0</v>
      </c>
      <c r="AB43" s="85">
        <v>0</v>
      </c>
      <c r="AC43" s="84">
        <v>0</v>
      </c>
      <c r="AD43" s="85">
        <v>0</v>
      </c>
      <c r="AE43" s="83">
        <v>0</v>
      </c>
    </row>
    <row r="44" spans="2:31">
      <c r="B44" s="77"/>
      <c r="C44" s="66"/>
      <c r="D44" s="71"/>
      <c r="E44" s="66" t="s">
        <v>135</v>
      </c>
      <c r="F44" s="78">
        <v>6502.7479836620496</v>
      </c>
      <c r="G44" s="79">
        <v>45.291986133768297</v>
      </c>
      <c r="H44" s="80">
        <v>5</v>
      </c>
      <c r="I44" s="79">
        <v>22</v>
      </c>
      <c r="J44" s="82">
        <v>5.4870000000000001</v>
      </c>
      <c r="K44" s="78">
        <v>6479.942997528281</v>
      </c>
      <c r="L44" s="79">
        <v>4.0070300000000003</v>
      </c>
      <c r="M44" s="80">
        <v>2.1059650325677102</v>
      </c>
      <c r="N44" s="79">
        <v>22.384029999999999</v>
      </c>
      <c r="O44" s="82">
        <v>2.1059650325677066</v>
      </c>
      <c r="P44" s="78">
        <v>6498.3199975282814</v>
      </c>
      <c r="Q44" s="79">
        <v>0</v>
      </c>
      <c r="R44" s="80">
        <v>1.703999999998814</v>
      </c>
      <c r="S44" s="79">
        <v>14.96813</v>
      </c>
      <c r="T44" s="82">
        <v>1.7158724717175182</v>
      </c>
      <c r="U44" s="81">
        <v>6513.3</v>
      </c>
      <c r="V44" s="79">
        <v>0</v>
      </c>
      <c r="W44" s="80">
        <v>5.0377667802749242</v>
      </c>
      <c r="X44" s="79">
        <v>98.281913649339998</v>
      </c>
      <c r="Y44" s="80">
        <v>7.6180863506596417</v>
      </c>
      <c r="Z44" s="78">
        <v>6614.1622332197248</v>
      </c>
      <c r="AA44" s="79">
        <v>0</v>
      </c>
      <c r="AB44" s="80">
        <v>18.871515316363364</v>
      </c>
      <c r="AC44" s="79">
        <v>98.281913649339998</v>
      </c>
      <c r="AD44" s="80">
        <v>24.161542716614392</v>
      </c>
      <c r="AE44" s="78">
        <v>6717.7341742693161</v>
      </c>
    </row>
    <row r="45" spans="2:31">
      <c r="B45" s="77"/>
      <c r="C45" s="66"/>
      <c r="D45" s="71"/>
      <c r="E45" s="66" t="s">
        <v>136</v>
      </c>
      <c r="F45" s="78">
        <v>1430.7959963625065</v>
      </c>
      <c r="G45" s="79">
        <v>10.6987889987765</v>
      </c>
      <c r="H45" s="80">
        <v>1.30121</v>
      </c>
      <c r="I45" s="79">
        <v>6</v>
      </c>
      <c r="J45" s="82">
        <v>1.238</v>
      </c>
      <c r="K45" s="78">
        <v>1426.0339973637301</v>
      </c>
      <c r="L45" s="79">
        <v>0.95018999999999998</v>
      </c>
      <c r="M45" s="80">
        <v>2.2930000000000001</v>
      </c>
      <c r="N45" s="79">
        <v>7.5891900000000003</v>
      </c>
      <c r="O45" s="82">
        <v>0.5</v>
      </c>
      <c r="P45" s="78">
        <v>1430.8799973637301</v>
      </c>
      <c r="Q45" s="79">
        <v>0</v>
      </c>
      <c r="R45" s="80">
        <v>0.79899999999929605</v>
      </c>
      <c r="S45" s="79">
        <v>7.1045699999999998</v>
      </c>
      <c r="T45" s="82">
        <v>0.81443263627014062</v>
      </c>
      <c r="U45" s="81">
        <v>1438.0000000000009</v>
      </c>
      <c r="V45" s="79">
        <v>0</v>
      </c>
      <c r="W45" s="80">
        <v>1.1122332197250764</v>
      </c>
      <c r="X45" s="79">
        <v>46.41808635065955</v>
      </c>
      <c r="Y45" s="80">
        <v>1.6819136493403595</v>
      </c>
      <c r="Z45" s="78">
        <v>1484.9877667802757</v>
      </c>
      <c r="AA45" s="79">
        <v>0</v>
      </c>
      <c r="AB45" s="80">
        <v>4.1664346836366377</v>
      </c>
      <c r="AC45" s="79">
        <v>46.41808635065955</v>
      </c>
      <c r="AD45" s="80">
        <v>6.4541085231345816</v>
      </c>
      <c r="AE45" s="78">
        <v>1533.6935269704331</v>
      </c>
    </row>
    <row r="46" spans="2:31">
      <c r="B46" s="77"/>
      <c r="C46" s="66"/>
      <c r="D46" s="71"/>
      <c r="E46" s="66"/>
      <c r="F46" s="83">
        <v>0</v>
      </c>
      <c r="G46" s="84">
        <v>0</v>
      </c>
      <c r="H46" s="85">
        <v>0</v>
      </c>
      <c r="I46" s="84">
        <v>0</v>
      </c>
      <c r="J46" s="86">
        <v>0</v>
      </c>
      <c r="K46" s="83">
        <v>0</v>
      </c>
      <c r="L46" s="84">
        <v>0</v>
      </c>
      <c r="M46" s="85">
        <v>0</v>
      </c>
      <c r="N46" s="84">
        <v>0</v>
      </c>
      <c r="O46" s="86">
        <v>0</v>
      </c>
      <c r="P46" s="83">
        <v>0</v>
      </c>
      <c r="Q46" s="84">
        <v>0</v>
      </c>
      <c r="R46" s="85">
        <v>0</v>
      </c>
      <c r="S46" s="84">
        <v>0</v>
      </c>
      <c r="T46" s="86">
        <v>0</v>
      </c>
      <c r="U46" s="87">
        <v>0</v>
      </c>
      <c r="V46" s="84">
        <v>0</v>
      </c>
      <c r="W46" s="85">
        <v>0</v>
      </c>
      <c r="X46" s="84">
        <v>0</v>
      </c>
      <c r="Y46" s="85">
        <v>0</v>
      </c>
      <c r="Z46" s="83">
        <v>0</v>
      </c>
      <c r="AA46" s="84">
        <v>0</v>
      </c>
      <c r="AB46" s="85">
        <v>0</v>
      </c>
      <c r="AC46" s="84">
        <v>0</v>
      </c>
      <c r="AD46" s="85">
        <v>0</v>
      </c>
      <c r="AE46" s="83">
        <v>0</v>
      </c>
    </row>
    <row r="47" spans="2:31">
      <c r="B47" s="77"/>
      <c r="C47" s="66"/>
      <c r="D47" s="71" t="s">
        <v>137</v>
      </c>
      <c r="E47" s="66"/>
      <c r="F47" s="83">
        <v>0</v>
      </c>
      <c r="G47" s="84">
        <v>0</v>
      </c>
      <c r="H47" s="85">
        <v>0</v>
      </c>
      <c r="I47" s="84">
        <v>0</v>
      </c>
      <c r="J47" s="86">
        <v>0</v>
      </c>
      <c r="K47" s="83">
        <v>0</v>
      </c>
      <c r="L47" s="84">
        <v>0</v>
      </c>
      <c r="M47" s="85">
        <v>0</v>
      </c>
      <c r="N47" s="84">
        <v>0</v>
      </c>
      <c r="O47" s="86">
        <v>0</v>
      </c>
      <c r="P47" s="83">
        <v>0</v>
      </c>
      <c r="Q47" s="84">
        <v>0</v>
      </c>
      <c r="R47" s="85">
        <v>0</v>
      </c>
      <c r="S47" s="84">
        <v>0</v>
      </c>
      <c r="T47" s="86">
        <v>0</v>
      </c>
      <c r="U47" s="87">
        <v>0</v>
      </c>
      <c r="V47" s="84">
        <v>0</v>
      </c>
      <c r="W47" s="85">
        <v>0</v>
      </c>
      <c r="X47" s="84">
        <v>0</v>
      </c>
      <c r="Y47" s="85">
        <v>0</v>
      </c>
      <c r="Z47" s="83">
        <v>0</v>
      </c>
      <c r="AA47" s="84">
        <v>0</v>
      </c>
      <c r="AB47" s="85">
        <v>0</v>
      </c>
      <c r="AC47" s="84">
        <v>0</v>
      </c>
      <c r="AD47" s="85">
        <v>0</v>
      </c>
      <c r="AE47" s="83">
        <v>0</v>
      </c>
    </row>
    <row r="48" spans="2:31">
      <c r="B48" s="77"/>
      <c r="C48" s="66"/>
      <c r="D48" s="71"/>
      <c r="E48" s="66" t="s">
        <v>138</v>
      </c>
      <c r="F48" s="78">
        <v>0</v>
      </c>
      <c r="G48" s="79">
        <v>0</v>
      </c>
      <c r="H48" s="80">
        <v>0</v>
      </c>
      <c r="I48" s="79">
        <v>0</v>
      </c>
      <c r="J48" s="82">
        <v>0</v>
      </c>
      <c r="K48" s="78">
        <v>0</v>
      </c>
      <c r="L48" s="79">
        <v>0</v>
      </c>
      <c r="M48" s="80">
        <v>0</v>
      </c>
      <c r="N48" s="79">
        <v>0</v>
      </c>
      <c r="O48" s="82">
        <v>0</v>
      </c>
      <c r="P48" s="78">
        <v>0</v>
      </c>
      <c r="Q48" s="79">
        <v>0</v>
      </c>
      <c r="R48" s="80">
        <v>0</v>
      </c>
      <c r="S48" s="79">
        <v>0</v>
      </c>
      <c r="T48" s="82">
        <v>0</v>
      </c>
      <c r="U48" s="81">
        <v>0</v>
      </c>
      <c r="V48" s="79">
        <v>0</v>
      </c>
      <c r="W48" s="80">
        <v>0</v>
      </c>
      <c r="X48" s="79">
        <v>0</v>
      </c>
      <c r="Y48" s="80">
        <v>0</v>
      </c>
      <c r="Z48" s="78">
        <v>0</v>
      </c>
      <c r="AA48" s="79">
        <v>0</v>
      </c>
      <c r="AB48" s="80">
        <v>0</v>
      </c>
      <c r="AC48" s="79">
        <v>0</v>
      </c>
      <c r="AD48" s="80">
        <v>0</v>
      </c>
      <c r="AE48" s="78">
        <v>0</v>
      </c>
    </row>
    <row r="49" spans="2:31">
      <c r="B49" s="77"/>
      <c r="C49" s="66"/>
      <c r="D49" s="71"/>
      <c r="E49" s="66"/>
      <c r="F49" s="83">
        <v>0</v>
      </c>
      <c r="G49" s="84">
        <v>0</v>
      </c>
      <c r="H49" s="85">
        <v>0</v>
      </c>
      <c r="I49" s="84">
        <v>0</v>
      </c>
      <c r="J49" s="86">
        <v>0</v>
      </c>
      <c r="K49" s="83">
        <v>0</v>
      </c>
      <c r="L49" s="84">
        <v>0</v>
      </c>
      <c r="M49" s="85">
        <v>0</v>
      </c>
      <c r="N49" s="84">
        <v>0</v>
      </c>
      <c r="O49" s="86">
        <v>0</v>
      </c>
      <c r="P49" s="83">
        <v>0</v>
      </c>
      <c r="Q49" s="84">
        <v>0</v>
      </c>
      <c r="R49" s="85">
        <v>0</v>
      </c>
      <c r="S49" s="84">
        <v>0</v>
      </c>
      <c r="T49" s="86">
        <v>0</v>
      </c>
      <c r="U49" s="87">
        <v>0</v>
      </c>
      <c r="V49" s="84">
        <v>0</v>
      </c>
      <c r="W49" s="85">
        <v>0</v>
      </c>
      <c r="X49" s="84">
        <v>0</v>
      </c>
      <c r="Y49" s="85">
        <v>0</v>
      </c>
      <c r="Z49" s="83">
        <v>0</v>
      </c>
      <c r="AA49" s="84">
        <v>0</v>
      </c>
      <c r="AB49" s="85">
        <v>0</v>
      </c>
      <c r="AC49" s="84">
        <v>0</v>
      </c>
      <c r="AD49" s="85">
        <v>0</v>
      </c>
      <c r="AE49" s="83">
        <v>0</v>
      </c>
    </row>
    <row r="50" spans="2:31">
      <c r="B50" s="77"/>
      <c r="C50" s="66"/>
      <c r="D50" s="71" t="s">
        <v>120</v>
      </c>
      <c r="E50" s="66"/>
      <c r="F50" s="83">
        <v>0</v>
      </c>
      <c r="G50" s="84">
        <v>0</v>
      </c>
      <c r="H50" s="85">
        <v>0</v>
      </c>
      <c r="I50" s="84">
        <v>0</v>
      </c>
      <c r="J50" s="86">
        <v>0</v>
      </c>
      <c r="K50" s="83">
        <v>0</v>
      </c>
      <c r="L50" s="84">
        <v>0</v>
      </c>
      <c r="M50" s="85">
        <v>0</v>
      </c>
      <c r="N50" s="84">
        <v>0</v>
      </c>
      <c r="O50" s="86">
        <v>0</v>
      </c>
      <c r="P50" s="83">
        <v>0</v>
      </c>
      <c r="Q50" s="84">
        <v>0</v>
      </c>
      <c r="R50" s="85">
        <v>0</v>
      </c>
      <c r="S50" s="84">
        <v>0</v>
      </c>
      <c r="T50" s="86">
        <v>0</v>
      </c>
      <c r="U50" s="87">
        <v>0</v>
      </c>
      <c r="V50" s="84">
        <v>0</v>
      </c>
      <c r="W50" s="85">
        <v>0</v>
      </c>
      <c r="X50" s="84">
        <v>0</v>
      </c>
      <c r="Y50" s="85">
        <v>0</v>
      </c>
      <c r="Z50" s="83">
        <v>0</v>
      </c>
      <c r="AA50" s="84">
        <v>0</v>
      </c>
      <c r="AB50" s="85">
        <v>0</v>
      </c>
      <c r="AC50" s="84">
        <v>0</v>
      </c>
      <c r="AD50" s="85">
        <v>0</v>
      </c>
      <c r="AE50" s="83">
        <v>0</v>
      </c>
    </row>
    <row r="51" spans="2:31">
      <c r="B51" s="77"/>
      <c r="C51" s="66"/>
      <c r="D51" s="71"/>
      <c r="E51" s="66" t="s">
        <v>139</v>
      </c>
      <c r="F51" s="78">
        <v>302</v>
      </c>
      <c r="G51" s="79">
        <v>0</v>
      </c>
      <c r="H51" s="80">
        <v>142</v>
      </c>
      <c r="I51" s="79">
        <v>107</v>
      </c>
      <c r="J51" s="82">
        <v>43</v>
      </c>
      <c r="K51" s="78">
        <v>310</v>
      </c>
      <c r="L51" s="79">
        <v>0</v>
      </c>
      <c r="M51" s="80">
        <v>23</v>
      </c>
      <c r="N51" s="79">
        <v>133</v>
      </c>
      <c r="O51" s="82">
        <v>23</v>
      </c>
      <c r="P51" s="78">
        <v>443</v>
      </c>
      <c r="Q51" s="79">
        <v>0</v>
      </c>
      <c r="R51" s="80">
        <v>20</v>
      </c>
      <c r="S51" s="79">
        <v>43</v>
      </c>
      <c r="T51" s="82">
        <v>20</v>
      </c>
      <c r="U51" s="81">
        <v>486</v>
      </c>
      <c r="V51" s="79">
        <v>0</v>
      </c>
      <c r="W51" s="80">
        <v>14</v>
      </c>
      <c r="X51" s="79">
        <v>0</v>
      </c>
      <c r="Y51" s="80">
        <v>50</v>
      </c>
      <c r="Z51" s="78">
        <v>522</v>
      </c>
      <c r="AA51" s="79">
        <v>0</v>
      </c>
      <c r="AB51" s="80">
        <v>34</v>
      </c>
      <c r="AC51" s="79">
        <v>0</v>
      </c>
      <c r="AD51" s="80">
        <v>76</v>
      </c>
      <c r="AE51" s="78">
        <v>564</v>
      </c>
    </row>
    <row r="52" spans="2:31">
      <c r="B52" s="77"/>
      <c r="C52" s="66"/>
      <c r="D52" s="71"/>
      <c r="E52" s="66" t="s">
        <v>140</v>
      </c>
      <c r="F52" s="78">
        <v>6747.9999999999973</v>
      </c>
      <c r="G52" s="79">
        <v>0</v>
      </c>
      <c r="H52" s="80">
        <v>57</v>
      </c>
      <c r="I52" s="79">
        <v>52</v>
      </c>
      <c r="J52" s="82">
        <v>35</v>
      </c>
      <c r="K52" s="78">
        <v>6777.9999999999973</v>
      </c>
      <c r="L52" s="79">
        <v>0</v>
      </c>
      <c r="M52" s="80">
        <v>60</v>
      </c>
      <c r="N52" s="79">
        <v>0</v>
      </c>
      <c r="O52" s="82">
        <v>60</v>
      </c>
      <c r="P52" s="78">
        <v>6777.9999999999973</v>
      </c>
      <c r="Q52" s="79">
        <v>0</v>
      </c>
      <c r="R52" s="80">
        <v>43.999999999997272</v>
      </c>
      <c r="S52" s="79">
        <v>0</v>
      </c>
      <c r="T52" s="82">
        <v>44</v>
      </c>
      <c r="U52" s="81">
        <v>6778</v>
      </c>
      <c r="V52" s="79">
        <v>19</v>
      </c>
      <c r="W52" s="80">
        <v>28</v>
      </c>
      <c r="X52" s="79">
        <v>22</v>
      </c>
      <c r="Y52" s="80">
        <v>16</v>
      </c>
      <c r="Z52" s="78">
        <v>6769</v>
      </c>
      <c r="AA52" s="79">
        <v>19</v>
      </c>
      <c r="AB52" s="80">
        <v>59</v>
      </c>
      <c r="AC52" s="79">
        <v>22</v>
      </c>
      <c r="AD52" s="80">
        <v>18</v>
      </c>
      <c r="AE52" s="78">
        <v>6731</v>
      </c>
    </row>
    <row r="53" spans="2:31">
      <c r="B53" s="77"/>
      <c r="C53" s="66"/>
      <c r="D53" s="71"/>
      <c r="E53" s="66" t="s">
        <v>141</v>
      </c>
      <c r="F53" s="78">
        <v>59</v>
      </c>
      <c r="G53" s="79">
        <v>0</v>
      </c>
      <c r="H53" s="80">
        <v>0</v>
      </c>
      <c r="I53" s="79">
        <v>4</v>
      </c>
      <c r="J53" s="82">
        <v>0</v>
      </c>
      <c r="K53" s="78">
        <v>63</v>
      </c>
      <c r="L53" s="79">
        <v>0</v>
      </c>
      <c r="M53" s="80">
        <v>1</v>
      </c>
      <c r="N53" s="79">
        <v>0</v>
      </c>
      <c r="O53" s="82">
        <v>1</v>
      </c>
      <c r="P53" s="78">
        <v>63</v>
      </c>
      <c r="Q53" s="79">
        <v>0</v>
      </c>
      <c r="R53" s="80">
        <v>11</v>
      </c>
      <c r="S53" s="79">
        <v>0.89376457177061985</v>
      </c>
      <c r="T53" s="82">
        <v>0.10623542822938013</v>
      </c>
      <c r="U53" s="81">
        <v>53</v>
      </c>
      <c r="V53" s="79">
        <v>0</v>
      </c>
      <c r="W53" s="80">
        <v>0</v>
      </c>
      <c r="X53" s="79">
        <v>0</v>
      </c>
      <c r="Y53" s="80">
        <v>0</v>
      </c>
      <c r="Z53" s="78">
        <v>53</v>
      </c>
      <c r="AA53" s="79">
        <v>0</v>
      </c>
      <c r="AB53" s="80">
        <v>0</v>
      </c>
      <c r="AC53" s="79">
        <v>0</v>
      </c>
      <c r="AD53" s="80">
        <v>0</v>
      </c>
      <c r="AE53" s="78">
        <v>53</v>
      </c>
    </row>
    <row r="54" spans="2:31">
      <c r="B54" s="77"/>
      <c r="C54" s="66"/>
      <c r="D54" s="71"/>
      <c r="E54" s="66" t="s">
        <v>142</v>
      </c>
      <c r="F54" s="78">
        <v>4529.9999999999982</v>
      </c>
      <c r="G54" s="79">
        <v>0</v>
      </c>
      <c r="H54" s="80">
        <v>18</v>
      </c>
      <c r="I54" s="79">
        <v>13</v>
      </c>
      <c r="J54" s="82">
        <v>4</v>
      </c>
      <c r="K54" s="78">
        <v>4528.9999999999982</v>
      </c>
      <c r="L54" s="79">
        <v>0</v>
      </c>
      <c r="M54" s="80">
        <v>11</v>
      </c>
      <c r="N54" s="79">
        <v>0</v>
      </c>
      <c r="O54" s="82">
        <v>11</v>
      </c>
      <c r="P54" s="78">
        <v>4528.9999999999982</v>
      </c>
      <c r="Q54" s="79">
        <v>0</v>
      </c>
      <c r="R54" s="80">
        <v>79.999999999998181</v>
      </c>
      <c r="S54" s="79">
        <v>0</v>
      </c>
      <c r="T54" s="82">
        <v>4</v>
      </c>
      <c r="U54" s="81">
        <v>4453</v>
      </c>
      <c r="V54" s="79">
        <v>0</v>
      </c>
      <c r="W54" s="80">
        <v>45</v>
      </c>
      <c r="X54" s="79">
        <v>0</v>
      </c>
      <c r="Y54" s="80">
        <v>14</v>
      </c>
      <c r="Z54" s="78">
        <v>4422</v>
      </c>
      <c r="AA54" s="79">
        <v>0</v>
      </c>
      <c r="AB54" s="80">
        <v>79</v>
      </c>
      <c r="AC54" s="79">
        <v>0</v>
      </c>
      <c r="AD54" s="80">
        <v>24</v>
      </c>
      <c r="AE54" s="78">
        <v>4367</v>
      </c>
    </row>
    <row r="55" spans="2:31">
      <c r="B55" s="77"/>
      <c r="C55" s="66"/>
      <c r="D55" s="71"/>
      <c r="E55" s="66" t="s">
        <v>143</v>
      </c>
      <c r="F55" s="78">
        <v>5021</v>
      </c>
      <c r="G55" s="79">
        <v>0</v>
      </c>
      <c r="H55" s="80">
        <v>43</v>
      </c>
      <c r="I55" s="79">
        <v>158</v>
      </c>
      <c r="J55" s="82">
        <v>28</v>
      </c>
      <c r="K55" s="78">
        <v>5164</v>
      </c>
      <c r="L55" s="79">
        <v>0</v>
      </c>
      <c r="M55" s="80">
        <v>73</v>
      </c>
      <c r="N55" s="79">
        <v>128</v>
      </c>
      <c r="O55" s="82">
        <v>70</v>
      </c>
      <c r="P55" s="78">
        <v>5289</v>
      </c>
      <c r="Q55" s="79">
        <v>0</v>
      </c>
      <c r="R55" s="80">
        <v>61</v>
      </c>
      <c r="S55" s="79">
        <v>115.00927973056623</v>
      </c>
      <c r="T55" s="82">
        <v>60.990720269433758</v>
      </c>
      <c r="U55" s="81">
        <v>5404</v>
      </c>
      <c r="V55" s="79">
        <v>0</v>
      </c>
      <c r="W55" s="80">
        <v>27</v>
      </c>
      <c r="X55" s="79">
        <v>133</v>
      </c>
      <c r="Y55" s="80">
        <v>37</v>
      </c>
      <c r="Z55" s="78">
        <v>5547</v>
      </c>
      <c r="AA55" s="79">
        <v>0</v>
      </c>
      <c r="AB55" s="80">
        <v>50</v>
      </c>
      <c r="AC55" s="79">
        <v>133</v>
      </c>
      <c r="AD55" s="80">
        <v>77</v>
      </c>
      <c r="AE55" s="78">
        <v>5707</v>
      </c>
    </row>
    <row r="56" spans="2:31">
      <c r="B56" s="77"/>
      <c r="C56" s="66"/>
      <c r="D56" s="71"/>
      <c r="E56" s="66" t="s">
        <v>144</v>
      </c>
      <c r="F56" s="78">
        <v>6704</v>
      </c>
      <c r="G56" s="79">
        <v>0</v>
      </c>
      <c r="H56" s="80">
        <v>32</v>
      </c>
      <c r="I56" s="79">
        <v>122</v>
      </c>
      <c r="J56" s="82">
        <v>32</v>
      </c>
      <c r="K56" s="78">
        <v>6826</v>
      </c>
      <c r="L56" s="79">
        <v>0</v>
      </c>
      <c r="M56" s="80">
        <v>88.000000000001592</v>
      </c>
      <c r="N56" s="79">
        <v>78</v>
      </c>
      <c r="O56" s="82">
        <v>88</v>
      </c>
      <c r="P56" s="78">
        <v>6903.9999999999982</v>
      </c>
      <c r="Q56" s="79">
        <v>0</v>
      </c>
      <c r="R56" s="80">
        <v>337.99999999999841</v>
      </c>
      <c r="S56" s="79">
        <v>38</v>
      </c>
      <c r="T56" s="82">
        <v>338</v>
      </c>
      <c r="U56" s="81">
        <v>6942</v>
      </c>
      <c r="V56" s="79">
        <v>0</v>
      </c>
      <c r="W56" s="80">
        <v>0</v>
      </c>
      <c r="X56" s="79">
        <v>0</v>
      </c>
      <c r="Y56" s="80">
        <v>0</v>
      </c>
      <c r="Z56" s="78">
        <v>6942</v>
      </c>
      <c r="AA56" s="79">
        <v>0</v>
      </c>
      <c r="AB56" s="80">
        <v>77</v>
      </c>
      <c r="AC56" s="79">
        <v>0</v>
      </c>
      <c r="AD56" s="80">
        <v>77</v>
      </c>
      <c r="AE56" s="78">
        <v>6942</v>
      </c>
    </row>
    <row r="57" spans="2:31">
      <c r="B57" s="77"/>
      <c r="C57" s="66"/>
      <c r="D57" s="71"/>
      <c r="E57" s="66" t="s">
        <v>145</v>
      </c>
      <c r="F57" s="78">
        <v>0</v>
      </c>
      <c r="G57" s="79">
        <v>0</v>
      </c>
      <c r="H57" s="80">
        <v>0</v>
      </c>
      <c r="I57" s="79">
        <v>0</v>
      </c>
      <c r="J57" s="82">
        <v>0</v>
      </c>
      <c r="K57" s="78">
        <v>0</v>
      </c>
      <c r="L57" s="79">
        <v>0</v>
      </c>
      <c r="M57" s="80">
        <v>0</v>
      </c>
      <c r="N57" s="79">
        <v>0</v>
      </c>
      <c r="O57" s="82">
        <v>0</v>
      </c>
      <c r="P57" s="78">
        <v>0</v>
      </c>
      <c r="Q57" s="79">
        <v>0</v>
      </c>
      <c r="R57" s="80">
        <v>0</v>
      </c>
      <c r="S57" s="79">
        <v>0</v>
      </c>
      <c r="T57" s="82">
        <v>0</v>
      </c>
      <c r="U57" s="81">
        <v>0</v>
      </c>
      <c r="V57" s="79">
        <v>0</v>
      </c>
      <c r="W57" s="80">
        <v>0</v>
      </c>
      <c r="X57" s="79">
        <v>0</v>
      </c>
      <c r="Y57" s="80">
        <v>0</v>
      </c>
      <c r="Z57" s="78">
        <v>0</v>
      </c>
      <c r="AA57" s="79">
        <v>0</v>
      </c>
      <c r="AB57" s="80">
        <v>0</v>
      </c>
      <c r="AC57" s="79">
        <v>0</v>
      </c>
      <c r="AD57" s="80">
        <v>0</v>
      </c>
      <c r="AE57" s="78">
        <v>0</v>
      </c>
    </row>
    <row r="58" spans="2:31">
      <c r="B58" s="77"/>
      <c r="C58" s="66"/>
      <c r="D58" s="66"/>
      <c r="E58" s="66" t="s">
        <v>146</v>
      </c>
      <c r="F58" s="78">
        <v>416</v>
      </c>
      <c r="G58" s="79">
        <v>0</v>
      </c>
      <c r="H58" s="80">
        <v>177</v>
      </c>
      <c r="I58" s="79">
        <v>216.65542575107986</v>
      </c>
      <c r="J58" s="82">
        <v>25.344574248920143</v>
      </c>
      <c r="K58" s="78">
        <v>481</v>
      </c>
      <c r="L58" s="79">
        <v>0</v>
      </c>
      <c r="M58" s="80">
        <v>137</v>
      </c>
      <c r="N58" s="79">
        <v>0</v>
      </c>
      <c r="O58" s="82">
        <v>137</v>
      </c>
      <c r="P58" s="78">
        <v>481</v>
      </c>
      <c r="Q58" s="79">
        <v>0</v>
      </c>
      <c r="R58" s="80">
        <v>26</v>
      </c>
      <c r="S58" s="79">
        <v>32</v>
      </c>
      <c r="T58" s="82">
        <v>26</v>
      </c>
      <c r="U58" s="81">
        <v>513</v>
      </c>
      <c r="V58" s="79">
        <v>0</v>
      </c>
      <c r="W58" s="80">
        <v>22</v>
      </c>
      <c r="X58" s="79">
        <v>0</v>
      </c>
      <c r="Y58" s="80">
        <v>22</v>
      </c>
      <c r="Z58" s="78">
        <v>513</v>
      </c>
      <c r="AA58" s="79">
        <v>0</v>
      </c>
      <c r="AB58" s="80">
        <v>36</v>
      </c>
      <c r="AC58" s="79">
        <v>0</v>
      </c>
      <c r="AD58" s="80">
        <v>40</v>
      </c>
      <c r="AE58" s="78">
        <v>517</v>
      </c>
    </row>
    <row r="59" spans="2:31">
      <c r="B59" s="77"/>
      <c r="C59" s="66"/>
      <c r="D59" s="66"/>
      <c r="E59" s="66" t="s">
        <v>147</v>
      </c>
      <c r="F59" s="78">
        <v>1252</v>
      </c>
      <c r="G59" s="79">
        <v>0</v>
      </c>
      <c r="H59" s="80">
        <v>36</v>
      </c>
      <c r="I59" s="79">
        <v>2.6858110630299157</v>
      </c>
      <c r="J59" s="82">
        <v>6.3141889369700799</v>
      </c>
      <c r="K59" s="78">
        <v>1225</v>
      </c>
      <c r="L59" s="79">
        <v>0</v>
      </c>
      <c r="M59" s="80">
        <v>23</v>
      </c>
      <c r="N59" s="79">
        <v>0</v>
      </c>
      <c r="O59" s="82">
        <v>23</v>
      </c>
      <c r="P59" s="78">
        <v>1225</v>
      </c>
      <c r="Q59" s="79">
        <v>0</v>
      </c>
      <c r="R59" s="80">
        <v>13</v>
      </c>
      <c r="S59" s="79">
        <v>0</v>
      </c>
      <c r="T59" s="82">
        <v>9</v>
      </c>
      <c r="U59" s="81">
        <v>1221</v>
      </c>
      <c r="V59" s="79">
        <v>0</v>
      </c>
      <c r="W59" s="80">
        <v>6</v>
      </c>
      <c r="X59" s="79">
        <v>16</v>
      </c>
      <c r="Y59" s="80">
        <v>2</v>
      </c>
      <c r="Z59" s="78">
        <v>1233</v>
      </c>
      <c r="AA59" s="79">
        <v>0</v>
      </c>
      <c r="AB59" s="80">
        <v>11</v>
      </c>
      <c r="AC59" s="79">
        <v>16</v>
      </c>
      <c r="AD59" s="80">
        <v>3</v>
      </c>
      <c r="AE59" s="78">
        <v>1241</v>
      </c>
    </row>
    <row r="60" spans="2:31">
      <c r="B60" s="77"/>
      <c r="C60" s="66"/>
      <c r="D60" s="71"/>
      <c r="E60" s="66" t="s">
        <v>148</v>
      </c>
      <c r="F60" s="78">
        <v>122</v>
      </c>
      <c r="G60" s="79">
        <v>0</v>
      </c>
      <c r="H60" s="80">
        <v>0</v>
      </c>
      <c r="I60" s="79">
        <v>0</v>
      </c>
      <c r="J60" s="82">
        <v>0</v>
      </c>
      <c r="K60" s="78">
        <v>122</v>
      </c>
      <c r="L60" s="79">
        <v>0</v>
      </c>
      <c r="M60" s="80">
        <v>0</v>
      </c>
      <c r="N60" s="79">
        <v>0</v>
      </c>
      <c r="O60" s="82">
        <v>0</v>
      </c>
      <c r="P60" s="78">
        <v>122</v>
      </c>
      <c r="Q60" s="79">
        <v>0</v>
      </c>
      <c r="R60" s="80">
        <v>7</v>
      </c>
      <c r="S60" s="79">
        <v>0</v>
      </c>
      <c r="T60" s="82">
        <v>3</v>
      </c>
      <c r="U60" s="81">
        <v>118</v>
      </c>
      <c r="V60" s="79">
        <v>0</v>
      </c>
      <c r="W60" s="80">
        <v>6</v>
      </c>
      <c r="X60" s="79">
        <v>0</v>
      </c>
      <c r="Y60" s="80">
        <v>1</v>
      </c>
      <c r="Z60" s="78">
        <v>113</v>
      </c>
      <c r="AA60" s="79">
        <v>0</v>
      </c>
      <c r="AB60" s="80">
        <v>0</v>
      </c>
      <c r="AC60" s="79">
        <v>0</v>
      </c>
      <c r="AD60" s="80">
        <v>0</v>
      </c>
      <c r="AE60" s="78">
        <v>113</v>
      </c>
    </row>
    <row r="61" spans="2:31">
      <c r="B61" s="77"/>
      <c r="C61" s="66"/>
      <c r="D61" s="71"/>
      <c r="E61" s="66" t="s">
        <v>149</v>
      </c>
      <c r="F61" s="78">
        <v>548.00000000000011</v>
      </c>
      <c r="G61" s="79">
        <v>0</v>
      </c>
      <c r="H61" s="80">
        <v>25</v>
      </c>
      <c r="I61" s="79">
        <v>0</v>
      </c>
      <c r="J61" s="82">
        <v>23</v>
      </c>
      <c r="K61" s="78">
        <v>546.00000000000011</v>
      </c>
      <c r="L61" s="79">
        <v>0</v>
      </c>
      <c r="M61" s="80">
        <v>13</v>
      </c>
      <c r="N61" s="79">
        <v>0</v>
      </c>
      <c r="O61" s="82">
        <v>13</v>
      </c>
      <c r="P61" s="78">
        <v>546.00000000000011</v>
      </c>
      <c r="Q61" s="79">
        <v>0</v>
      </c>
      <c r="R61" s="80">
        <v>14.000000000000114</v>
      </c>
      <c r="S61" s="79">
        <v>0</v>
      </c>
      <c r="T61" s="82">
        <v>11</v>
      </c>
      <c r="U61" s="81">
        <v>543</v>
      </c>
      <c r="V61" s="79">
        <v>0</v>
      </c>
      <c r="W61" s="80">
        <v>6</v>
      </c>
      <c r="X61" s="79">
        <v>23</v>
      </c>
      <c r="Y61" s="80">
        <v>2</v>
      </c>
      <c r="Z61" s="78">
        <v>562</v>
      </c>
      <c r="AA61" s="79">
        <v>0</v>
      </c>
      <c r="AB61" s="80">
        <v>14</v>
      </c>
      <c r="AC61" s="79">
        <v>23</v>
      </c>
      <c r="AD61" s="80">
        <v>4</v>
      </c>
      <c r="AE61" s="78">
        <v>575</v>
      </c>
    </row>
    <row r="62" spans="2:31">
      <c r="B62" s="77"/>
      <c r="C62" s="66"/>
      <c r="D62" s="71"/>
      <c r="E62" s="66" t="s">
        <v>150</v>
      </c>
      <c r="F62" s="78">
        <v>816.00000333333332</v>
      </c>
      <c r="G62" s="79">
        <v>0</v>
      </c>
      <c r="H62" s="80">
        <v>6</v>
      </c>
      <c r="I62" s="79">
        <v>40.333329999999997</v>
      </c>
      <c r="J62" s="82">
        <v>6</v>
      </c>
      <c r="K62" s="78">
        <v>856.33333333333337</v>
      </c>
      <c r="L62" s="79">
        <v>0</v>
      </c>
      <c r="M62" s="80">
        <v>5.3333333333333712</v>
      </c>
      <c r="N62" s="79">
        <v>26.7</v>
      </c>
      <c r="O62" s="82">
        <v>5.3</v>
      </c>
      <c r="P62" s="78">
        <v>883</v>
      </c>
      <c r="Q62" s="79">
        <v>0</v>
      </c>
      <c r="R62" s="80">
        <v>6</v>
      </c>
      <c r="S62" s="79">
        <v>29</v>
      </c>
      <c r="T62" s="82">
        <v>6</v>
      </c>
      <c r="U62" s="81">
        <v>912</v>
      </c>
      <c r="V62" s="79">
        <v>0</v>
      </c>
      <c r="W62" s="80">
        <v>5</v>
      </c>
      <c r="X62" s="79">
        <v>29</v>
      </c>
      <c r="Y62" s="80">
        <v>7</v>
      </c>
      <c r="Z62" s="78">
        <v>943</v>
      </c>
      <c r="AA62" s="79">
        <v>0</v>
      </c>
      <c r="AB62" s="80">
        <v>9</v>
      </c>
      <c r="AC62" s="79">
        <v>29</v>
      </c>
      <c r="AD62" s="80">
        <v>14</v>
      </c>
      <c r="AE62" s="78">
        <v>977</v>
      </c>
    </row>
    <row r="63" spans="2:31">
      <c r="B63" s="77"/>
      <c r="C63" s="66"/>
      <c r="D63" s="71"/>
      <c r="E63" s="66" t="s">
        <v>151</v>
      </c>
      <c r="F63" s="78">
        <v>5764</v>
      </c>
      <c r="G63" s="79">
        <v>0</v>
      </c>
      <c r="H63" s="80">
        <v>30</v>
      </c>
      <c r="I63" s="79">
        <v>186</v>
      </c>
      <c r="J63" s="82">
        <v>30</v>
      </c>
      <c r="K63" s="78">
        <v>5950</v>
      </c>
      <c r="L63" s="79">
        <v>0</v>
      </c>
      <c r="M63" s="80">
        <v>133</v>
      </c>
      <c r="N63" s="79">
        <v>91</v>
      </c>
      <c r="O63" s="82">
        <v>133</v>
      </c>
      <c r="P63" s="78">
        <v>6041</v>
      </c>
      <c r="Q63" s="79">
        <v>0</v>
      </c>
      <c r="R63" s="80">
        <v>328</v>
      </c>
      <c r="S63" s="79">
        <v>15</v>
      </c>
      <c r="T63" s="82">
        <v>328</v>
      </c>
      <c r="U63" s="81">
        <v>6056</v>
      </c>
      <c r="V63" s="79">
        <v>0</v>
      </c>
      <c r="W63" s="80">
        <v>0</v>
      </c>
      <c r="X63" s="79">
        <v>0</v>
      </c>
      <c r="Y63" s="80">
        <v>0</v>
      </c>
      <c r="Z63" s="78">
        <v>6056</v>
      </c>
      <c r="AA63" s="79">
        <v>0</v>
      </c>
      <c r="AB63" s="80">
        <v>40</v>
      </c>
      <c r="AC63" s="79">
        <v>0</v>
      </c>
      <c r="AD63" s="80">
        <v>41</v>
      </c>
      <c r="AE63" s="78">
        <v>6057</v>
      </c>
    </row>
    <row r="64" spans="2:31">
      <c r="B64" s="77"/>
      <c r="C64" s="66"/>
      <c r="D64" s="71"/>
      <c r="E64" s="66" t="s">
        <v>152</v>
      </c>
      <c r="F64" s="78">
        <v>0</v>
      </c>
      <c r="G64" s="79">
        <v>0</v>
      </c>
      <c r="H64" s="80">
        <v>0</v>
      </c>
      <c r="I64" s="79">
        <v>0</v>
      </c>
      <c r="J64" s="82">
        <v>0</v>
      </c>
      <c r="K64" s="78">
        <v>0</v>
      </c>
      <c r="L64" s="79">
        <v>0</v>
      </c>
      <c r="M64" s="80">
        <v>0</v>
      </c>
      <c r="N64" s="79">
        <v>0</v>
      </c>
      <c r="O64" s="82">
        <v>0</v>
      </c>
      <c r="P64" s="78">
        <v>0</v>
      </c>
      <c r="Q64" s="79">
        <v>0</v>
      </c>
      <c r="R64" s="80">
        <v>0</v>
      </c>
      <c r="S64" s="79">
        <v>0</v>
      </c>
      <c r="T64" s="82">
        <v>0</v>
      </c>
      <c r="U64" s="81">
        <v>0</v>
      </c>
      <c r="V64" s="79">
        <v>0</v>
      </c>
      <c r="W64" s="80">
        <v>0</v>
      </c>
      <c r="X64" s="79">
        <v>0</v>
      </c>
      <c r="Y64" s="80">
        <v>0</v>
      </c>
      <c r="Z64" s="78">
        <v>0</v>
      </c>
      <c r="AA64" s="79">
        <v>0</v>
      </c>
      <c r="AB64" s="80">
        <v>0</v>
      </c>
      <c r="AC64" s="79">
        <v>0</v>
      </c>
      <c r="AD64" s="80">
        <v>0</v>
      </c>
      <c r="AE64" s="78">
        <v>0</v>
      </c>
    </row>
    <row r="65" spans="2:31">
      <c r="B65" s="77"/>
      <c r="C65" s="66"/>
      <c r="D65" s="71"/>
      <c r="E65" s="66"/>
      <c r="F65" s="83">
        <v>0</v>
      </c>
      <c r="G65" s="84">
        <v>0</v>
      </c>
      <c r="H65" s="85">
        <v>0</v>
      </c>
      <c r="I65" s="84">
        <v>0</v>
      </c>
      <c r="J65" s="86">
        <v>0</v>
      </c>
      <c r="K65" s="83">
        <v>0</v>
      </c>
      <c r="L65" s="84">
        <v>0</v>
      </c>
      <c r="M65" s="85">
        <v>0</v>
      </c>
      <c r="N65" s="84">
        <v>0</v>
      </c>
      <c r="O65" s="86">
        <v>0</v>
      </c>
      <c r="P65" s="83">
        <v>0</v>
      </c>
      <c r="Q65" s="84">
        <v>0</v>
      </c>
      <c r="R65" s="85">
        <v>0</v>
      </c>
      <c r="S65" s="84">
        <v>0</v>
      </c>
      <c r="T65" s="86">
        <v>0</v>
      </c>
      <c r="U65" s="87">
        <v>0</v>
      </c>
      <c r="V65" s="84">
        <v>0</v>
      </c>
      <c r="W65" s="85">
        <v>0</v>
      </c>
      <c r="X65" s="84">
        <v>0</v>
      </c>
      <c r="Y65" s="85">
        <v>0</v>
      </c>
      <c r="Z65" s="83">
        <v>0</v>
      </c>
      <c r="AA65" s="84">
        <v>0</v>
      </c>
      <c r="AB65" s="85">
        <v>0</v>
      </c>
      <c r="AC65" s="84">
        <v>0</v>
      </c>
      <c r="AD65" s="85">
        <v>0</v>
      </c>
      <c r="AE65" s="83">
        <v>0</v>
      </c>
    </row>
    <row r="66" spans="2:31">
      <c r="B66" s="77"/>
      <c r="C66" s="66"/>
      <c r="D66" s="71" t="s">
        <v>153</v>
      </c>
      <c r="E66" s="66"/>
      <c r="F66" s="83">
        <v>0</v>
      </c>
      <c r="G66" s="84">
        <v>0</v>
      </c>
      <c r="H66" s="85">
        <v>0</v>
      </c>
      <c r="I66" s="84">
        <v>0</v>
      </c>
      <c r="J66" s="86">
        <v>0</v>
      </c>
      <c r="K66" s="83">
        <v>0</v>
      </c>
      <c r="L66" s="84">
        <v>0</v>
      </c>
      <c r="M66" s="85">
        <v>0</v>
      </c>
      <c r="N66" s="84">
        <v>0</v>
      </c>
      <c r="O66" s="86">
        <v>0</v>
      </c>
      <c r="P66" s="83">
        <v>0</v>
      </c>
      <c r="Q66" s="84">
        <v>0</v>
      </c>
      <c r="R66" s="85">
        <v>0</v>
      </c>
      <c r="S66" s="84">
        <v>0</v>
      </c>
      <c r="T66" s="86">
        <v>0</v>
      </c>
      <c r="U66" s="87">
        <v>0</v>
      </c>
      <c r="V66" s="84">
        <v>0</v>
      </c>
      <c r="W66" s="85">
        <v>0</v>
      </c>
      <c r="X66" s="84">
        <v>0</v>
      </c>
      <c r="Y66" s="85">
        <v>0</v>
      </c>
      <c r="Z66" s="83">
        <v>0</v>
      </c>
      <c r="AA66" s="84">
        <v>0</v>
      </c>
      <c r="AB66" s="85">
        <v>0</v>
      </c>
      <c r="AC66" s="84">
        <v>0</v>
      </c>
      <c r="AD66" s="85">
        <v>0</v>
      </c>
      <c r="AE66" s="83">
        <v>0</v>
      </c>
    </row>
    <row r="67" spans="2:31">
      <c r="B67" s="77"/>
      <c r="C67" s="66"/>
      <c r="D67" s="71"/>
      <c r="E67" s="66" t="s">
        <v>154</v>
      </c>
      <c r="F67" s="78">
        <v>8521</v>
      </c>
      <c r="G67" s="79">
        <v>0</v>
      </c>
      <c r="H67" s="80">
        <v>80</v>
      </c>
      <c r="I67" s="79">
        <v>183</v>
      </c>
      <c r="J67" s="82">
        <v>80</v>
      </c>
      <c r="K67" s="78">
        <v>8704</v>
      </c>
      <c r="L67" s="79">
        <v>0</v>
      </c>
      <c r="M67" s="80">
        <v>128</v>
      </c>
      <c r="N67" s="79">
        <v>78</v>
      </c>
      <c r="O67" s="82">
        <v>128</v>
      </c>
      <c r="P67" s="78">
        <v>8782</v>
      </c>
      <c r="Q67" s="79">
        <v>0</v>
      </c>
      <c r="R67" s="80">
        <v>209</v>
      </c>
      <c r="S67" s="79">
        <v>108.04654601965107</v>
      </c>
      <c r="T67" s="82">
        <v>100.95345398034891</v>
      </c>
      <c r="U67" s="81">
        <v>8782</v>
      </c>
      <c r="V67" s="79">
        <v>0</v>
      </c>
      <c r="W67" s="80">
        <v>110</v>
      </c>
      <c r="X67" s="79">
        <v>41</v>
      </c>
      <c r="Y67" s="80">
        <v>110</v>
      </c>
      <c r="Z67" s="78">
        <v>8823</v>
      </c>
      <c r="AA67" s="79">
        <v>0</v>
      </c>
      <c r="AB67" s="80">
        <v>7</v>
      </c>
      <c r="AC67" s="79">
        <v>41</v>
      </c>
      <c r="AD67" s="80">
        <v>7</v>
      </c>
      <c r="AE67" s="78">
        <v>8864</v>
      </c>
    </row>
    <row r="68" spans="2:31">
      <c r="B68" s="77"/>
      <c r="C68" s="66"/>
      <c r="D68" s="71"/>
      <c r="E68" s="66" t="s">
        <v>155</v>
      </c>
      <c r="F68" s="78">
        <v>7861</v>
      </c>
      <c r="G68" s="79">
        <v>0</v>
      </c>
      <c r="H68" s="80">
        <v>49</v>
      </c>
      <c r="I68" s="79">
        <v>125</v>
      </c>
      <c r="J68" s="82">
        <v>49</v>
      </c>
      <c r="K68" s="78">
        <v>7986</v>
      </c>
      <c r="L68" s="79">
        <v>0</v>
      </c>
      <c r="M68" s="80">
        <v>77</v>
      </c>
      <c r="N68" s="79">
        <v>125</v>
      </c>
      <c r="O68" s="82">
        <v>77</v>
      </c>
      <c r="P68" s="78">
        <v>8111</v>
      </c>
      <c r="Q68" s="79">
        <v>0</v>
      </c>
      <c r="R68" s="80">
        <v>119</v>
      </c>
      <c r="S68" s="79">
        <v>78</v>
      </c>
      <c r="T68" s="82">
        <v>119</v>
      </c>
      <c r="U68" s="81">
        <v>8189</v>
      </c>
      <c r="V68" s="79">
        <v>0</v>
      </c>
      <c r="W68" s="80">
        <v>42</v>
      </c>
      <c r="X68" s="79">
        <v>150</v>
      </c>
      <c r="Y68" s="80">
        <v>42</v>
      </c>
      <c r="Z68" s="78">
        <v>8339</v>
      </c>
      <c r="AA68" s="79">
        <v>0</v>
      </c>
      <c r="AB68" s="80">
        <v>82</v>
      </c>
      <c r="AC68" s="79">
        <v>150</v>
      </c>
      <c r="AD68" s="80">
        <v>84</v>
      </c>
      <c r="AE68" s="78">
        <v>8491</v>
      </c>
    </row>
    <row r="69" spans="2:31">
      <c r="B69" s="77"/>
      <c r="C69" s="66"/>
      <c r="D69" s="71"/>
      <c r="E69" s="66" t="s">
        <v>156</v>
      </c>
      <c r="F69" s="78">
        <v>6785</v>
      </c>
      <c r="G69" s="79">
        <v>0</v>
      </c>
      <c r="H69" s="80">
        <v>70</v>
      </c>
      <c r="I69" s="79">
        <v>124</v>
      </c>
      <c r="J69" s="82">
        <v>70</v>
      </c>
      <c r="K69" s="78">
        <v>6909</v>
      </c>
      <c r="L69" s="79">
        <v>0</v>
      </c>
      <c r="M69" s="80">
        <v>96</v>
      </c>
      <c r="N69" s="79">
        <v>91</v>
      </c>
      <c r="O69" s="82">
        <v>96</v>
      </c>
      <c r="P69" s="78">
        <v>7000</v>
      </c>
      <c r="Q69" s="79">
        <v>0</v>
      </c>
      <c r="R69" s="80">
        <v>167</v>
      </c>
      <c r="S69" s="79">
        <v>41</v>
      </c>
      <c r="T69" s="82">
        <v>167</v>
      </c>
      <c r="U69" s="81">
        <v>7041</v>
      </c>
      <c r="V69" s="79">
        <v>0</v>
      </c>
      <c r="W69" s="80">
        <v>114</v>
      </c>
      <c r="X69" s="79">
        <v>18</v>
      </c>
      <c r="Y69" s="80">
        <v>114</v>
      </c>
      <c r="Z69" s="78">
        <v>7059</v>
      </c>
      <c r="AA69" s="79">
        <v>0</v>
      </c>
      <c r="AB69" s="80">
        <v>6</v>
      </c>
      <c r="AC69" s="79">
        <v>18</v>
      </c>
      <c r="AD69" s="80">
        <v>7</v>
      </c>
      <c r="AE69" s="78">
        <v>7078</v>
      </c>
    </row>
    <row r="70" spans="2:31">
      <c r="B70" s="77"/>
      <c r="C70" s="66"/>
      <c r="D70" s="71"/>
      <c r="E70" s="66" t="s">
        <v>157</v>
      </c>
      <c r="F70" s="78">
        <v>1532</v>
      </c>
      <c r="G70" s="79">
        <v>0</v>
      </c>
      <c r="H70" s="80">
        <v>7</v>
      </c>
      <c r="I70" s="79">
        <v>29</v>
      </c>
      <c r="J70" s="82">
        <v>7</v>
      </c>
      <c r="K70" s="78">
        <v>1561</v>
      </c>
      <c r="L70" s="79">
        <v>0</v>
      </c>
      <c r="M70" s="80">
        <v>7</v>
      </c>
      <c r="N70" s="79">
        <v>27</v>
      </c>
      <c r="O70" s="82">
        <v>7</v>
      </c>
      <c r="P70" s="78">
        <v>1588</v>
      </c>
      <c r="Q70" s="79">
        <v>0</v>
      </c>
      <c r="R70" s="80">
        <v>39</v>
      </c>
      <c r="S70" s="79">
        <v>15</v>
      </c>
      <c r="T70" s="82">
        <v>39</v>
      </c>
      <c r="U70" s="81">
        <v>1603</v>
      </c>
      <c r="V70" s="79">
        <v>0</v>
      </c>
      <c r="W70" s="80">
        <v>8</v>
      </c>
      <c r="X70" s="79">
        <v>30</v>
      </c>
      <c r="Y70" s="80">
        <v>8</v>
      </c>
      <c r="Z70" s="78">
        <v>1633</v>
      </c>
      <c r="AA70" s="79">
        <v>0</v>
      </c>
      <c r="AB70" s="80">
        <v>16</v>
      </c>
      <c r="AC70" s="79">
        <v>30</v>
      </c>
      <c r="AD70" s="80">
        <v>16</v>
      </c>
      <c r="AE70" s="78">
        <v>1663</v>
      </c>
    </row>
    <row r="71" spans="2:31" ht="13.5" thickBot="1">
      <c r="B71" s="88"/>
      <c r="C71" s="89"/>
      <c r="D71" s="89"/>
      <c r="E71" s="89"/>
      <c r="F71" s="90">
        <v>0</v>
      </c>
      <c r="G71" s="91">
        <v>0</v>
      </c>
      <c r="H71" s="92">
        <v>0</v>
      </c>
      <c r="I71" s="91">
        <v>0</v>
      </c>
      <c r="J71" s="93">
        <v>0</v>
      </c>
      <c r="K71" s="94">
        <v>0</v>
      </c>
      <c r="L71" s="91">
        <v>0</v>
      </c>
      <c r="M71" s="92">
        <v>0</v>
      </c>
      <c r="N71" s="91">
        <v>0</v>
      </c>
      <c r="O71" s="93">
        <v>0</v>
      </c>
      <c r="P71" s="94">
        <v>0</v>
      </c>
      <c r="Q71" s="91">
        <v>0</v>
      </c>
      <c r="R71" s="92">
        <v>0</v>
      </c>
      <c r="S71" s="91">
        <v>0</v>
      </c>
      <c r="T71" s="93">
        <v>0</v>
      </c>
      <c r="U71" s="95">
        <v>0</v>
      </c>
      <c r="V71" s="91">
        <v>0</v>
      </c>
      <c r="W71" s="92">
        <v>0</v>
      </c>
      <c r="X71" s="91">
        <v>0</v>
      </c>
      <c r="Y71" s="92">
        <v>0</v>
      </c>
      <c r="Z71" s="94">
        <v>0</v>
      </c>
      <c r="AA71" s="91">
        <v>0</v>
      </c>
      <c r="AB71" s="92">
        <v>0</v>
      </c>
      <c r="AC71" s="91">
        <v>0</v>
      </c>
      <c r="AD71" s="92">
        <v>0</v>
      </c>
      <c r="AE71" s="94">
        <v>0</v>
      </c>
    </row>
    <row r="72" spans="2:31">
      <c r="B72" s="96"/>
      <c r="C72" s="97" t="s">
        <v>158</v>
      </c>
      <c r="D72" s="97"/>
      <c r="E72" s="98"/>
      <c r="F72" s="99">
        <v>0</v>
      </c>
      <c r="G72" s="100">
        <v>0</v>
      </c>
      <c r="H72" s="101">
        <v>0</v>
      </c>
      <c r="I72" s="100">
        <v>0</v>
      </c>
      <c r="J72" s="102">
        <v>0</v>
      </c>
      <c r="K72" s="99">
        <v>0</v>
      </c>
      <c r="L72" s="100">
        <v>0</v>
      </c>
      <c r="M72" s="101">
        <v>0</v>
      </c>
      <c r="N72" s="100">
        <v>0</v>
      </c>
      <c r="O72" s="102">
        <v>0</v>
      </c>
      <c r="P72" s="99">
        <v>0</v>
      </c>
      <c r="Q72" s="100">
        <v>0</v>
      </c>
      <c r="R72" s="101">
        <v>0</v>
      </c>
      <c r="S72" s="100">
        <v>0</v>
      </c>
      <c r="T72" s="102">
        <v>0</v>
      </c>
      <c r="U72" s="103">
        <v>0</v>
      </c>
      <c r="V72" s="100">
        <v>0</v>
      </c>
      <c r="W72" s="101">
        <v>0</v>
      </c>
      <c r="X72" s="100">
        <v>0</v>
      </c>
      <c r="Y72" s="101">
        <v>0</v>
      </c>
      <c r="Z72" s="99">
        <v>0</v>
      </c>
      <c r="AA72" s="100">
        <v>0</v>
      </c>
      <c r="AB72" s="101">
        <v>0</v>
      </c>
      <c r="AC72" s="100">
        <v>0</v>
      </c>
      <c r="AD72" s="101">
        <v>0</v>
      </c>
      <c r="AE72" s="99">
        <v>0</v>
      </c>
    </row>
    <row r="73" spans="2:31">
      <c r="B73" s="77"/>
      <c r="C73" s="66"/>
      <c r="D73" s="71" t="s">
        <v>110</v>
      </c>
      <c r="E73" s="66"/>
      <c r="F73" s="83">
        <v>0</v>
      </c>
      <c r="G73" s="84">
        <v>0</v>
      </c>
      <c r="H73" s="85">
        <v>0</v>
      </c>
      <c r="I73" s="84">
        <v>0</v>
      </c>
      <c r="J73" s="86">
        <v>0</v>
      </c>
      <c r="K73" s="83">
        <v>0</v>
      </c>
      <c r="L73" s="84">
        <v>0</v>
      </c>
      <c r="M73" s="85">
        <v>0</v>
      </c>
      <c r="N73" s="84">
        <v>0</v>
      </c>
      <c r="O73" s="86">
        <v>0</v>
      </c>
      <c r="P73" s="83">
        <v>0</v>
      </c>
      <c r="Q73" s="84">
        <v>0</v>
      </c>
      <c r="R73" s="85">
        <v>0</v>
      </c>
      <c r="S73" s="84">
        <v>0</v>
      </c>
      <c r="T73" s="86">
        <v>0</v>
      </c>
      <c r="U73" s="87">
        <v>0</v>
      </c>
      <c r="V73" s="84">
        <v>0</v>
      </c>
      <c r="W73" s="85">
        <v>0</v>
      </c>
      <c r="X73" s="84">
        <v>0</v>
      </c>
      <c r="Y73" s="85">
        <v>0</v>
      </c>
      <c r="Z73" s="83">
        <v>0</v>
      </c>
      <c r="AA73" s="84">
        <v>0</v>
      </c>
      <c r="AB73" s="85">
        <v>0</v>
      </c>
      <c r="AC73" s="84">
        <v>0</v>
      </c>
      <c r="AD73" s="85">
        <v>0</v>
      </c>
      <c r="AE73" s="83">
        <v>0</v>
      </c>
    </row>
    <row r="74" spans="2:31">
      <c r="B74" s="77"/>
      <c r="C74" s="66"/>
      <c r="D74" s="66"/>
      <c r="E74" s="66" t="s">
        <v>159</v>
      </c>
      <c r="F74" s="78">
        <v>325.92771999999991</v>
      </c>
      <c r="G74" s="79">
        <v>0</v>
      </c>
      <c r="H74" s="80">
        <v>0</v>
      </c>
      <c r="I74" s="79">
        <v>1.2800000000000001E-3</v>
      </c>
      <c r="J74" s="82">
        <v>0</v>
      </c>
      <c r="K74" s="78">
        <v>325.92899999999992</v>
      </c>
      <c r="L74" s="79">
        <v>0</v>
      </c>
      <c r="M74" s="80">
        <v>0</v>
      </c>
      <c r="N74" s="79">
        <v>0</v>
      </c>
      <c r="O74" s="82">
        <v>0</v>
      </c>
      <c r="P74" s="78">
        <v>325.92899999999992</v>
      </c>
      <c r="Q74" s="79">
        <v>0</v>
      </c>
      <c r="R74" s="80">
        <v>0</v>
      </c>
      <c r="S74" s="79">
        <v>0</v>
      </c>
      <c r="T74" s="82">
        <v>0</v>
      </c>
      <c r="U74" s="81">
        <v>325.92899999999992</v>
      </c>
      <c r="V74" s="79">
        <v>0</v>
      </c>
      <c r="W74" s="80">
        <v>0.28699999999999903</v>
      </c>
      <c r="X74" s="79">
        <v>3.56</v>
      </c>
      <c r="Y74" s="80">
        <v>0.3</v>
      </c>
      <c r="Z74" s="78">
        <v>329.50199999999995</v>
      </c>
      <c r="AA74" s="79">
        <v>0</v>
      </c>
      <c r="AB74" s="80">
        <v>0</v>
      </c>
      <c r="AC74" s="79">
        <v>0.89</v>
      </c>
      <c r="AD74" s="80">
        <v>0</v>
      </c>
      <c r="AE74" s="78">
        <v>330.39199999999994</v>
      </c>
    </row>
    <row r="75" spans="2:31">
      <c r="B75" s="77"/>
      <c r="C75" s="66"/>
      <c r="D75" s="71"/>
      <c r="E75" s="66" t="s">
        <v>160</v>
      </c>
      <c r="F75" s="78">
        <v>26.745000000000001</v>
      </c>
      <c r="G75" s="79">
        <v>0</v>
      </c>
      <c r="H75" s="80">
        <v>0</v>
      </c>
      <c r="I75" s="79">
        <v>0</v>
      </c>
      <c r="J75" s="82">
        <v>0</v>
      </c>
      <c r="K75" s="78">
        <v>26.745000000000001</v>
      </c>
      <c r="L75" s="79">
        <v>0</v>
      </c>
      <c r="M75" s="80">
        <v>0</v>
      </c>
      <c r="N75" s="79">
        <v>0</v>
      </c>
      <c r="O75" s="82">
        <v>0</v>
      </c>
      <c r="P75" s="78">
        <v>26.745000000000001</v>
      </c>
      <c r="Q75" s="79">
        <v>0</v>
      </c>
      <c r="R75" s="80">
        <v>0</v>
      </c>
      <c r="S75" s="79">
        <v>0</v>
      </c>
      <c r="T75" s="82">
        <v>0</v>
      </c>
      <c r="U75" s="81">
        <v>26.745000000000001</v>
      </c>
      <c r="V75" s="79">
        <v>0</v>
      </c>
      <c r="W75" s="80">
        <v>0</v>
      </c>
      <c r="X75" s="79">
        <v>0</v>
      </c>
      <c r="Y75" s="80">
        <v>0</v>
      </c>
      <c r="Z75" s="78">
        <v>26.745000000000001</v>
      </c>
      <c r="AA75" s="79">
        <v>0</v>
      </c>
      <c r="AB75" s="80">
        <v>0</v>
      </c>
      <c r="AC75" s="79">
        <v>0</v>
      </c>
      <c r="AD75" s="80">
        <v>0</v>
      </c>
      <c r="AE75" s="78">
        <v>26.745000000000001</v>
      </c>
    </row>
    <row r="76" spans="2:31">
      <c r="B76" s="77"/>
      <c r="C76" s="66"/>
      <c r="D76" s="71"/>
      <c r="E76" s="66" t="s">
        <v>161</v>
      </c>
      <c r="F76" s="78">
        <v>373.11</v>
      </c>
      <c r="G76" s="79">
        <v>0</v>
      </c>
      <c r="H76" s="80">
        <v>0</v>
      </c>
      <c r="I76" s="79">
        <v>0</v>
      </c>
      <c r="J76" s="82">
        <v>0</v>
      </c>
      <c r="K76" s="78">
        <v>373.11</v>
      </c>
      <c r="L76" s="79">
        <v>0</v>
      </c>
      <c r="M76" s="80">
        <v>3.0449999999999999</v>
      </c>
      <c r="N76" s="79">
        <v>0</v>
      </c>
      <c r="O76" s="82">
        <v>2</v>
      </c>
      <c r="P76" s="78">
        <v>372.065</v>
      </c>
      <c r="Q76" s="79">
        <v>0</v>
      </c>
      <c r="R76" s="80">
        <v>0</v>
      </c>
      <c r="S76" s="79">
        <v>0</v>
      </c>
      <c r="T76" s="82">
        <v>0</v>
      </c>
      <c r="U76" s="81">
        <v>372.065</v>
      </c>
      <c r="V76" s="79">
        <v>0</v>
      </c>
      <c r="W76" s="80">
        <v>17.213000000000001</v>
      </c>
      <c r="X76" s="79">
        <v>2.39</v>
      </c>
      <c r="Y76" s="80">
        <v>17.213000000000001</v>
      </c>
      <c r="Z76" s="78">
        <v>374.45499999999998</v>
      </c>
      <c r="AA76" s="79">
        <v>0</v>
      </c>
      <c r="AB76" s="80">
        <v>14.32</v>
      </c>
      <c r="AC76" s="79">
        <v>0.6</v>
      </c>
      <c r="AD76" s="80">
        <v>14.32</v>
      </c>
      <c r="AE76" s="78">
        <v>375.05500000000001</v>
      </c>
    </row>
    <row r="77" spans="2:31">
      <c r="B77" s="77"/>
      <c r="C77" s="66"/>
      <c r="D77" s="71"/>
      <c r="E77" s="66" t="s">
        <v>162</v>
      </c>
      <c r="F77" s="78">
        <v>636.55500000000006</v>
      </c>
      <c r="G77" s="79">
        <v>0</v>
      </c>
      <c r="H77" s="80">
        <v>2.1940000000000737</v>
      </c>
      <c r="I77" s="79">
        <v>0</v>
      </c>
      <c r="J77" s="82">
        <v>0</v>
      </c>
      <c r="K77" s="78">
        <v>634.36099999999999</v>
      </c>
      <c r="L77" s="79">
        <v>0.5</v>
      </c>
      <c r="M77" s="80">
        <v>3.5</v>
      </c>
      <c r="N77" s="79">
        <v>0.5</v>
      </c>
      <c r="O77" s="82">
        <v>3.5</v>
      </c>
      <c r="P77" s="78">
        <v>634.36099999999999</v>
      </c>
      <c r="Q77" s="79">
        <v>0</v>
      </c>
      <c r="R77" s="80">
        <v>0</v>
      </c>
      <c r="S77" s="79">
        <v>0</v>
      </c>
      <c r="T77" s="82">
        <v>0</v>
      </c>
      <c r="U77" s="81">
        <v>634.36099999999999</v>
      </c>
      <c r="V77" s="79">
        <v>0</v>
      </c>
      <c r="W77" s="80">
        <v>0</v>
      </c>
      <c r="X77" s="79">
        <v>0</v>
      </c>
      <c r="Y77" s="80">
        <v>0</v>
      </c>
      <c r="Z77" s="78">
        <v>634.36099999999999</v>
      </c>
      <c r="AA77" s="79">
        <v>0.13</v>
      </c>
      <c r="AB77" s="80">
        <v>0</v>
      </c>
      <c r="AC77" s="79">
        <v>0.13</v>
      </c>
      <c r="AD77" s="80">
        <v>0</v>
      </c>
      <c r="AE77" s="78">
        <v>634.36099999999999</v>
      </c>
    </row>
    <row r="78" spans="2:31">
      <c r="B78" s="77"/>
      <c r="C78" s="66"/>
      <c r="D78" s="71"/>
      <c r="E78" s="66"/>
      <c r="F78" s="83">
        <v>0</v>
      </c>
      <c r="G78" s="84">
        <v>0</v>
      </c>
      <c r="H78" s="85">
        <v>0</v>
      </c>
      <c r="I78" s="84">
        <v>0</v>
      </c>
      <c r="J78" s="86">
        <v>0</v>
      </c>
      <c r="K78" s="83">
        <v>0</v>
      </c>
      <c r="L78" s="84">
        <v>0</v>
      </c>
      <c r="M78" s="85">
        <v>0</v>
      </c>
      <c r="N78" s="84">
        <v>0</v>
      </c>
      <c r="O78" s="86">
        <v>0</v>
      </c>
      <c r="P78" s="83">
        <v>0</v>
      </c>
      <c r="Q78" s="84">
        <v>0</v>
      </c>
      <c r="R78" s="85">
        <v>0</v>
      </c>
      <c r="S78" s="84">
        <v>0</v>
      </c>
      <c r="T78" s="86">
        <v>0</v>
      </c>
      <c r="U78" s="87">
        <v>0</v>
      </c>
      <c r="V78" s="84">
        <v>0</v>
      </c>
      <c r="W78" s="85">
        <v>0</v>
      </c>
      <c r="X78" s="84">
        <v>0</v>
      </c>
      <c r="Y78" s="85">
        <v>0</v>
      </c>
      <c r="Z78" s="83">
        <v>0</v>
      </c>
      <c r="AA78" s="84">
        <v>0</v>
      </c>
      <c r="AB78" s="85">
        <v>0</v>
      </c>
      <c r="AC78" s="84">
        <v>0</v>
      </c>
      <c r="AD78" s="85">
        <v>0</v>
      </c>
      <c r="AE78" s="83">
        <v>0</v>
      </c>
    </row>
    <row r="79" spans="2:31">
      <c r="B79" s="77"/>
      <c r="C79" s="66"/>
      <c r="D79" s="71" t="s">
        <v>113</v>
      </c>
      <c r="E79" s="66"/>
      <c r="F79" s="83">
        <v>0</v>
      </c>
      <c r="G79" s="84">
        <v>0</v>
      </c>
      <c r="H79" s="85">
        <v>0</v>
      </c>
      <c r="I79" s="84">
        <v>0</v>
      </c>
      <c r="J79" s="86">
        <v>0</v>
      </c>
      <c r="K79" s="83">
        <v>0</v>
      </c>
      <c r="L79" s="84">
        <v>0</v>
      </c>
      <c r="M79" s="85">
        <v>0</v>
      </c>
      <c r="N79" s="84">
        <v>0</v>
      </c>
      <c r="O79" s="86">
        <v>0</v>
      </c>
      <c r="P79" s="83">
        <v>0</v>
      </c>
      <c r="Q79" s="84">
        <v>0</v>
      </c>
      <c r="R79" s="85">
        <v>0</v>
      </c>
      <c r="S79" s="84">
        <v>0</v>
      </c>
      <c r="T79" s="86">
        <v>0</v>
      </c>
      <c r="U79" s="87">
        <v>0</v>
      </c>
      <c r="V79" s="84">
        <v>0</v>
      </c>
      <c r="W79" s="85">
        <v>0</v>
      </c>
      <c r="X79" s="84">
        <v>0</v>
      </c>
      <c r="Y79" s="85">
        <v>0</v>
      </c>
      <c r="Z79" s="83">
        <v>0</v>
      </c>
      <c r="AA79" s="84">
        <v>0</v>
      </c>
      <c r="AB79" s="85">
        <v>0</v>
      </c>
      <c r="AC79" s="84">
        <v>0</v>
      </c>
      <c r="AD79" s="85">
        <v>0</v>
      </c>
      <c r="AE79" s="83">
        <v>0</v>
      </c>
    </row>
    <row r="80" spans="2:31">
      <c r="B80" s="77"/>
      <c r="C80" s="66"/>
      <c r="D80" s="66"/>
      <c r="E80" s="66" t="s">
        <v>163</v>
      </c>
      <c r="F80" s="78">
        <v>4016</v>
      </c>
      <c r="G80" s="79">
        <v>0</v>
      </c>
      <c r="H80" s="80">
        <v>6</v>
      </c>
      <c r="I80" s="79">
        <v>0</v>
      </c>
      <c r="J80" s="82">
        <v>0</v>
      </c>
      <c r="K80" s="78">
        <v>4010</v>
      </c>
      <c r="L80" s="79">
        <v>0</v>
      </c>
      <c r="M80" s="80">
        <v>0</v>
      </c>
      <c r="N80" s="79">
        <v>0</v>
      </c>
      <c r="O80" s="82">
        <v>0</v>
      </c>
      <c r="P80" s="78">
        <v>4010</v>
      </c>
      <c r="Q80" s="79">
        <v>0</v>
      </c>
      <c r="R80" s="80">
        <v>0</v>
      </c>
      <c r="S80" s="79">
        <v>0</v>
      </c>
      <c r="T80" s="82">
        <v>0</v>
      </c>
      <c r="U80" s="81">
        <v>4010</v>
      </c>
      <c r="V80" s="79">
        <v>0</v>
      </c>
      <c r="W80" s="80">
        <v>3</v>
      </c>
      <c r="X80" s="79">
        <v>37</v>
      </c>
      <c r="Y80" s="80">
        <v>3</v>
      </c>
      <c r="Z80" s="78">
        <v>4047</v>
      </c>
      <c r="AA80" s="79">
        <v>0</v>
      </c>
      <c r="AB80" s="80">
        <v>3</v>
      </c>
      <c r="AC80" s="79">
        <v>9</v>
      </c>
      <c r="AD80" s="80">
        <v>3</v>
      </c>
      <c r="AE80" s="78">
        <v>4056</v>
      </c>
    </row>
    <row r="81" spans="2:31">
      <c r="B81" s="77"/>
      <c r="C81" s="66"/>
      <c r="D81" s="66"/>
      <c r="E81" s="66" t="s">
        <v>164</v>
      </c>
      <c r="F81" s="78">
        <v>164</v>
      </c>
      <c r="G81" s="79">
        <v>0</v>
      </c>
      <c r="H81" s="80">
        <v>0</v>
      </c>
      <c r="I81" s="79">
        <v>0</v>
      </c>
      <c r="J81" s="82">
        <v>0</v>
      </c>
      <c r="K81" s="78">
        <v>164</v>
      </c>
      <c r="L81" s="79">
        <v>0</v>
      </c>
      <c r="M81" s="80">
        <v>0</v>
      </c>
      <c r="N81" s="79">
        <v>0</v>
      </c>
      <c r="O81" s="82">
        <v>0</v>
      </c>
      <c r="P81" s="78">
        <v>164</v>
      </c>
      <c r="Q81" s="79">
        <v>0</v>
      </c>
      <c r="R81" s="80">
        <v>0</v>
      </c>
      <c r="S81" s="79">
        <v>0</v>
      </c>
      <c r="T81" s="82">
        <v>0</v>
      </c>
      <c r="U81" s="81">
        <v>164</v>
      </c>
      <c r="V81" s="79">
        <v>0</v>
      </c>
      <c r="W81" s="80">
        <v>0</v>
      </c>
      <c r="X81" s="79">
        <v>0</v>
      </c>
      <c r="Y81" s="80">
        <v>0</v>
      </c>
      <c r="Z81" s="78">
        <v>164</v>
      </c>
      <c r="AA81" s="79">
        <v>0</v>
      </c>
      <c r="AB81" s="80">
        <v>0</v>
      </c>
      <c r="AC81" s="79">
        <v>0</v>
      </c>
      <c r="AD81" s="80">
        <v>0</v>
      </c>
      <c r="AE81" s="78">
        <v>164</v>
      </c>
    </row>
    <row r="82" spans="2:31">
      <c r="B82" s="77"/>
      <c r="C82" s="66"/>
      <c r="D82" s="71"/>
      <c r="E82" s="66" t="s">
        <v>165</v>
      </c>
      <c r="F82" s="78">
        <v>5851</v>
      </c>
      <c r="G82" s="79">
        <v>0</v>
      </c>
      <c r="H82" s="80">
        <v>28</v>
      </c>
      <c r="I82" s="79">
        <v>0</v>
      </c>
      <c r="J82" s="82">
        <v>0</v>
      </c>
      <c r="K82" s="78">
        <v>5823</v>
      </c>
      <c r="L82" s="79">
        <v>0</v>
      </c>
      <c r="M82" s="80">
        <v>12</v>
      </c>
      <c r="N82" s="79">
        <v>0</v>
      </c>
      <c r="O82" s="82">
        <v>0</v>
      </c>
      <c r="P82" s="78">
        <v>5811</v>
      </c>
      <c r="Q82" s="79">
        <v>0</v>
      </c>
      <c r="R82" s="80">
        <v>0</v>
      </c>
      <c r="S82" s="79">
        <v>0</v>
      </c>
      <c r="T82" s="82">
        <v>0</v>
      </c>
      <c r="U82" s="81">
        <v>5811</v>
      </c>
      <c r="V82" s="79">
        <v>0</v>
      </c>
      <c r="W82" s="80">
        <v>110</v>
      </c>
      <c r="X82" s="79">
        <v>26</v>
      </c>
      <c r="Y82" s="80">
        <v>110</v>
      </c>
      <c r="Z82" s="78">
        <v>5837</v>
      </c>
      <c r="AA82" s="79">
        <v>0</v>
      </c>
      <c r="AB82" s="80">
        <v>93</v>
      </c>
      <c r="AC82" s="79">
        <v>7</v>
      </c>
      <c r="AD82" s="80">
        <v>93</v>
      </c>
      <c r="AE82" s="78">
        <v>5844</v>
      </c>
    </row>
    <row r="83" spans="2:31">
      <c r="B83" s="77"/>
      <c r="C83" s="66"/>
      <c r="D83" s="71"/>
      <c r="E83" s="66" t="s">
        <v>166</v>
      </c>
      <c r="F83" s="78">
        <v>1969</v>
      </c>
      <c r="G83" s="79">
        <v>0</v>
      </c>
      <c r="H83" s="80">
        <v>19</v>
      </c>
      <c r="I83" s="79">
        <v>0</v>
      </c>
      <c r="J83" s="82">
        <v>0</v>
      </c>
      <c r="K83" s="78">
        <v>1950</v>
      </c>
      <c r="L83" s="79">
        <v>0</v>
      </c>
      <c r="M83" s="80">
        <v>0</v>
      </c>
      <c r="N83" s="79">
        <v>0</v>
      </c>
      <c r="O83" s="82">
        <v>0</v>
      </c>
      <c r="P83" s="78">
        <v>1950</v>
      </c>
      <c r="Q83" s="79">
        <v>0</v>
      </c>
      <c r="R83" s="80">
        <v>0</v>
      </c>
      <c r="S83" s="79">
        <v>0</v>
      </c>
      <c r="T83" s="82">
        <v>0</v>
      </c>
      <c r="U83" s="81">
        <v>1950</v>
      </c>
      <c r="V83" s="79">
        <v>0</v>
      </c>
      <c r="W83" s="80">
        <v>0</v>
      </c>
      <c r="X83" s="79">
        <v>0</v>
      </c>
      <c r="Y83" s="80">
        <v>0</v>
      </c>
      <c r="Z83" s="78">
        <v>1950</v>
      </c>
      <c r="AA83" s="79">
        <v>0</v>
      </c>
      <c r="AB83" s="80">
        <v>0</v>
      </c>
      <c r="AC83" s="79">
        <v>0</v>
      </c>
      <c r="AD83" s="80">
        <v>0</v>
      </c>
      <c r="AE83" s="78">
        <v>1950</v>
      </c>
    </row>
    <row r="84" spans="2:31">
      <c r="B84" s="77"/>
      <c r="C84" s="66"/>
      <c r="D84" s="66"/>
      <c r="E84" s="66"/>
      <c r="F84" s="83">
        <v>0</v>
      </c>
      <c r="G84" s="84">
        <v>0</v>
      </c>
      <c r="H84" s="85">
        <v>0</v>
      </c>
      <c r="I84" s="84">
        <v>0</v>
      </c>
      <c r="J84" s="86">
        <v>0</v>
      </c>
      <c r="K84" s="83">
        <v>0</v>
      </c>
      <c r="L84" s="84">
        <v>0</v>
      </c>
      <c r="M84" s="85">
        <v>0</v>
      </c>
      <c r="N84" s="84">
        <v>0</v>
      </c>
      <c r="O84" s="86">
        <v>0</v>
      </c>
      <c r="P84" s="83">
        <v>0</v>
      </c>
      <c r="Q84" s="84">
        <v>0</v>
      </c>
      <c r="R84" s="85">
        <v>0</v>
      </c>
      <c r="S84" s="84">
        <v>0</v>
      </c>
      <c r="T84" s="86">
        <v>0</v>
      </c>
      <c r="U84" s="87">
        <v>0</v>
      </c>
      <c r="V84" s="84">
        <v>0</v>
      </c>
      <c r="W84" s="85">
        <v>0</v>
      </c>
      <c r="X84" s="84">
        <v>0</v>
      </c>
      <c r="Y84" s="85">
        <v>0</v>
      </c>
      <c r="Z84" s="83">
        <v>0</v>
      </c>
      <c r="AA84" s="84">
        <v>0</v>
      </c>
      <c r="AB84" s="85">
        <v>0</v>
      </c>
      <c r="AC84" s="84">
        <v>0</v>
      </c>
      <c r="AD84" s="85">
        <v>0</v>
      </c>
      <c r="AE84" s="83">
        <v>0</v>
      </c>
    </row>
    <row r="85" spans="2:31">
      <c r="B85" s="64"/>
      <c r="C85" s="66"/>
      <c r="D85" s="71" t="s">
        <v>134</v>
      </c>
      <c r="E85" s="66"/>
      <c r="F85" s="83">
        <v>0</v>
      </c>
      <c r="G85" s="84">
        <v>0</v>
      </c>
      <c r="H85" s="85">
        <v>0</v>
      </c>
      <c r="I85" s="84">
        <v>0</v>
      </c>
      <c r="J85" s="86">
        <v>0</v>
      </c>
      <c r="K85" s="83">
        <v>0</v>
      </c>
      <c r="L85" s="84">
        <v>0</v>
      </c>
      <c r="M85" s="85">
        <v>0</v>
      </c>
      <c r="N85" s="84">
        <v>0</v>
      </c>
      <c r="O85" s="86">
        <v>0</v>
      </c>
      <c r="P85" s="83">
        <v>0</v>
      </c>
      <c r="Q85" s="84">
        <v>0</v>
      </c>
      <c r="R85" s="85">
        <v>0</v>
      </c>
      <c r="S85" s="84">
        <v>0</v>
      </c>
      <c r="T85" s="86">
        <v>0</v>
      </c>
      <c r="U85" s="87">
        <v>0</v>
      </c>
      <c r="V85" s="84">
        <v>0</v>
      </c>
      <c r="W85" s="85">
        <v>0</v>
      </c>
      <c r="X85" s="84">
        <v>0</v>
      </c>
      <c r="Y85" s="85">
        <v>0</v>
      </c>
      <c r="Z85" s="83">
        <v>0</v>
      </c>
      <c r="AA85" s="84">
        <v>0</v>
      </c>
      <c r="AB85" s="85">
        <v>0</v>
      </c>
      <c r="AC85" s="84">
        <v>0</v>
      </c>
      <c r="AD85" s="85">
        <v>0</v>
      </c>
      <c r="AE85" s="83">
        <v>0</v>
      </c>
    </row>
    <row r="86" spans="2:31">
      <c r="B86" s="64"/>
      <c r="C86" s="66"/>
      <c r="D86" s="71"/>
      <c r="E86" s="66" t="s">
        <v>167</v>
      </c>
      <c r="F86" s="78">
        <v>222.39000465094492</v>
      </c>
      <c r="G86" s="79">
        <v>0.50706231454005901</v>
      </c>
      <c r="H86" s="80">
        <v>2.4929399999999999</v>
      </c>
      <c r="I86" s="79">
        <v>0.58967999999999998</v>
      </c>
      <c r="J86" s="82">
        <v>0.12231766359518975</v>
      </c>
      <c r="K86" s="78">
        <v>220.10200000000003</v>
      </c>
      <c r="L86" s="79">
        <v>0</v>
      </c>
      <c r="M86" s="80">
        <v>0</v>
      </c>
      <c r="N86" s="79">
        <v>0</v>
      </c>
      <c r="O86" s="82">
        <v>0</v>
      </c>
      <c r="P86" s="78">
        <v>220.10200000000003</v>
      </c>
      <c r="Q86" s="79">
        <v>0</v>
      </c>
      <c r="R86" s="80">
        <v>0</v>
      </c>
      <c r="S86" s="79">
        <v>0</v>
      </c>
      <c r="T86" s="82">
        <v>0</v>
      </c>
      <c r="U86" s="81">
        <v>220.10200000000003</v>
      </c>
      <c r="V86" s="79">
        <v>0</v>
      </c>
      <c r="W86" s="80">
        <v>0.4</v>
      </c>
      <c r="X86" s="79">
        <v>9.1</v>
      </c>
      <c r="Y86" s="80">
        <v>0.4</v>
      </c>
      <c r="Z86" s="78">
        <v>229.20200000000003</v>
      </c>
      <c r="AA86" s="79">
        <v>0.13</v>
      </c>
      <c r="AB86" s="80">
        <v>0.78004485713079796</v>
      </c>
      <c r="AC86" s="79">
        <v>2.42</v>
      </c>
      <c r="AD86" s="80">
        <v>5.2620816266191355</v>
      </c>
      <c r="AE86" s="78">
        <v>235.97403676948835</v>
      </c>
    </row>
    <row r="87" spans="2:31">
      <c r="B87" s="64"/>
      <c r="C87" s="66"/>
      <c r="D87" s="71"/>
      <c r="E87" s="66" t="s">
        <v>168</v>
      </c>
      <c r="F87" s="78">
        <v>188.22400000000002</v>
      </c>
      <c r="G87" s="79">
        <v>0</v>
      </c>
      <c r="H87" s="80">
        <v>5</v>
      </c>
      <c r="I87" s="79">
        <v>0</v>
      </c>
      <c r="J87" s="82">
        <v>0</v>
      </c>
      <c r="K87" s="78">
        <v>183.22400000000002</v>
      </c>
      <c r="L87" s="79">
        <v>0</v>
      </c>
      <c r="M87" s="80">
        <v>0</v>
      </c>
      <c r="N87" s="79">
        <v>0</v>
      </c>
      <c r="O87" s="82">
        <v>0</v>
      </c>
      <c r="P87" s="78">
        <v>183.22400000000002</v>
      </c>
      <c r="Q87" s="79">
        <v>0</v>
      </c>
      <c r="R87" s="80">
        <v>0</v>
      </c>
      <c r="S87" s="79">
        <v>0</v>
      </c>
      <c r="T87" s="82">
        <v>0</v>
      </c>
      <c r="U87" s="81">
        <v>183.22400000000002</v>
      </c>
      <c r="V87" s="79">
        <v>0</v>
      </c>
      <c r="W87" s="80">
        <v>0</v>
      </c>
      <c r="X87" s="79">
        <v>0</v>
      </c>
      <c r="Y87" s="80">
        <v>0</v>
      </c>
      <c r="Z87" s="78">
        <v>183.22400000000002</v>
      </c>
      <c r="AA87" s="79">
        <v>0</v>
      </c>
      <c r="AB87" s="80">
        <v>2.982036769488337</v>
      </c>
      <c r="AC87" s="79">
        <v>0</v>
      </c>
      <c r="AD87" s="80">
        <v>0</v>
      </c>
      <c r="AE87" s="78">
        <v>180.24196323051169</v>
      </c>
    </row>
    <row r="88" spans="2:31">
      <c r="B88" s="64"/>
      <c r="C88" s="66"/>
      <c r="D88" s="71"/>
      <c r="E88" s="66" t="s">
        <v>169</v>
      </c>
      <c r="F88" s="78">
        <v>76.472000000000008</v>
      </c>
      <c r="G88" s="79">
        <v>0</v>
      </c>
      <c r="H88" s="80">
        <v>1</v>
      </c>
      <c r="I88" s="79">
        <v>0</v>
      </c>
      <c r="J88" s="82">
        <v>0</v>
      </c>
      <c r="K88" s="78">
        <v>75.472000000000008</v>
      </c>
      <c r="L88" s="79">
        <v>0</v>
      </c>
      <c r="M88" s="80">
        <v>0</v>
      </c>
      <c r="N88" s="79">
        <v>0</v>
      </c>
      <c r="O88" s="82">
        <v>0</v>
      </c>
      <c r="P88" s="78">
        <v>75.472000000000008</v>
      </c>
      <c r="Q88" s="79">
        <v>0</v>
      </c>
      <c r="R88" s="80">
        <v>0</v>
      </c>
      <c r="S88" s="79">
        <v>0</v>
      </c>
      <c r="T88" s="82">
        <v>0</v>
      </c>
      <c r="U88" s="81">
        <v>75.472000000000008</v>
      </c>
      <c r="V88" s="79">
        <v>0</v>
      </c>
      <c r="W88" s="80">
        <v>0</v>
      </c>
      <c r="X88" s="79">
        <v>0</v>
      </c>
      <c r="Y88" s="80">
        <v>0</v>
      </c>
      <c r="Z88" s="78">
        <v>75.472000000000008</v>
      </c>
      <c r="AA88" s="79">
        <v>0</v>
      </c>
      <c r="AB88" s="80">
        <v>1.5</v>
      </c>
      <c r="AC88" s="79">
        <v>0</v>
      </c>
      <c r="AD88" s="80">
        <v>0</v>
      </c>
      <c r="AE88" s="78">
        <v>73.972000000000008</v>
      </c>
    </row>
    <row r="89" spans="2:31">
      <c r="B89" s="64"/>
      <c r="C89" s="66"/>
      <c r="D89" s="71"/>
      <c r="E89" s="66" t="s">
        <v>170</v>
      </c>
      <c r="F89" s="78">
        <v>74.135000948055136</v>
      </c>
      <c r="G89" s="79">
        <v>0</v>
      </c>
      <c r="H89" s="80">
        <v>3.7429999999999999</v>
      </c>
      <c r="I89" s="79">
        <v>0</v>
      </c>
      <c r="J89" s="82">
        <v>2.7429999999999999</v>
      </c>
      <c r="K89" s="78">
        <v>73.135000948055136</v>
      </c>
      <c r="L89" s="79">
        <v>0</v>
      </c>
      <c r="M89" s="80">
        <v>0.29142793791575627</v>
      </c>
      <c r="N89" s="79">
        <v>0.29382000000000003</v>
      </c>
      <c r="O89" s="82">
        <v>1.0976069898606404</v>
      </c>
      <c r="P89" s="78">
        <v>74.235000000000014</v>
      </c>
      <c r="Q89" s="79">
        <v>0</v>
      </c>
      <c r="R89" s="80">
        <v>0</v>
      </c>
      <c r="S89" s="79">
        <v>0</v>
      </c>
      <c r="T89" s="82">
        <v>0</v>
      </c>
      <c r="U89" s="81">
        <v>74.235000000000014</v>
      </c>
      <c r="V89" s="79">
        <v>0</v>
      </c>
      <c r="W89" s="80">
        <v>1</v>
      </c>
      <c r="X89" s="79">
        <v>5.9189999999999996</v>
      </c>
      <c r="Y89" s="80">
        <v>1</v>
      </c>
      <c r="Z89" s="78">
        <v>80.154000000000011</v>
      </c>
      <c r="AA89" s="79">
        <v>0</v>
      </c>
      <c r="AB89" s="80">
        <v>0.72535514286920177</v>
      </c>
      <c r="AC89" s="79">
        <v>1.55</v>
      </c>
      <c r="AD89" s="80">
        <v>3.4983183733808638</v>
      </c>
      <c r="AE89" s="78">
        <v>84.476963230511672</v>
      </c>
    </row>
    <row r="90" spans="2:31">
      <c r="B90" s="64"/>
      <c r="C90" s="66"/>
      <c r="D90" s="71"/>
      <c r="E90" s="66" t="s">
        <v>171</v>
      </c>
      <c r="F90" s="78">
        <v>378.99399999999991</v>
      </c>
      <c r="G90" s="79">
        <v>0</v>
      </c>
      <c r="H90" s="80">
        <v>8</v>
      </c>
      <c r="I90" s="79">
        <v>0</v>
      </c>
      <c r="J90" s="82">
        <v>0</v>
      </c>
      <c r="K90" s="78">
        <v>370.99399999999991</v>
      </c>
      <c r="L90" s="79">
        <v>0</v>
      </c>
      <c r="M90" s="80">
        <v>4.2999999999999501</v>
      </c>
      <c r="N90" s="79">
        <v>1.3395736517439263E-4</v>
      </c>
      <c r="O90" s="82">
        <v>4.2998660426348252</v>
      </c>
      <c r="P90" s="78">
        <v>370.99399999999997</v>
      </c>
      <c r="Q90" s="79">
        <v>0</v>
      </c>
      <c r="R90" s="80">
        <v>0</v>
      </c>
      <c r="S90" s="79">
        <v>0</v>
      </c>
      <c r="T90" s="82">
        <v>0</v>
      </c>
      <c r="U90" s="81">
        <v>370.99399999999997</v>
      </c>
      <c r="V90" s="79">
        <v>0</v>
      </c>
      <c r="W90" s="80">
        <v>2</v>
      </c>
      <c r="X90" s="79">
        <v>0</v>
      </c>
      <c r="Y90" s="80">
        <v>0</v>
      </c>
      <c r="Z90" s="78">
        <v>368.99399999999997</v>
      </c>
      <c r="AA90" s="79">
        <v>0</v>
      </c>
      <c r="AB90" s="80">
        <v>1.3729632305116621</v>
      </c>
      <c r="AC90" s="79">
        <v>0</v>
      </c>
      <c r="AD90" s="80">
        <v>0</v>
      </c>
      <c r="AE90" s="78">
        <v>367.62103676948828</v>
      </c>
    </row>
    <row r="91" spans="2:31">
      <c r="B91" s="64"/>
      <c r="C91" s="66"/>
      <c r="D91" s="71"/>
      <c r="E91" s="66" t="s">
        <v>172</v>
      </c>
      <c r="F91" s="78">
        <v>0</v>
      </c>
      <c r="G91" s="79">
        <v>0</v>
      </c>
      <c r="H91" s="80">
        <v>0</v>
      </c>
      <c r="I91" s="79">
        <v>0</v>
      </c>
      <c r="J91" s="82">
        <v>0</v>
      </c>
      <c r="K91" s="78">
        <v>0</v>
      </c>
      <c r="L91" s="79">
        <v>0</v>
      </c>
      <c r="M91" s="80">
        <v>0</v>
      </c>
      <c r="N91" s="79">
        <v>0</v>
      </c>
      <c r="O91" s="82">
        <v>0</v>
      </c>
      <c r="P91" s="78">
        <v>0</v>
      </c>
      <c r="Q91" s="79">
        <v>0</v>
      </c>
      <c r="R91" s="80">
        <v>0</v>
      </c>
      <c r="S91" s="79">
        <v>0</v>
      </c>
      <c r="T91" s="82">
        <v>0</v>
      </c>
      <c r="U91" s="81">
        <v>0</v>
      </c>
      <c r="V91" s="79">
        <v>0</v>
      </c>
      <c r="W91" s="80">
        <v>0</v>
      </c>
      <c r="X91" s="79">
        <v>0</v>
      </c>
      <c r="Y91" s="80">
        <v>0</v>
      </c>
      <c r="Z91" s="78">
        <v>0</v>
      </c>
      <c r="AA91" s="79">
        <v>0</v>
      </c>
      <c r="AB91" s="80">
        <v>0</v>
      </c>
      <c r="AC91" s="79">
        <v>0</v>
      </c>
      <c r="AD91" s="80">
        <v>0</v>
      </c>
      <c r="AE91" s="78">
        <v>0</v>
      </c>
    </row>
    <row r="92" spans="2:31">
      <c r="B92" s="64"/>
      <c r="C92" s="66"/>
      <c r="D92" s="66"/>
      <c r="E92" s="66"/>
      <c r="F92" s="83">
        <v>0</v>
      </c>
      <c r="G92" s="84">
        <v>0</v>
      </c>
      <c r="H92" s="85">
        <v>0</v>
      </c>
      <c r="I92" s="84">
        <v>0</v>
      </c>
      <c r="J92" s="86">
        <v>0</v>
      </c>
      <c r="K92" s="83">
        <v>0</v>
      </c>
      <c r="L92" s="84">
        <v>0</v>
      </c>
      <c r="M92" s="85">
        <v>0</v>
      </c>
      <c r="N92" s="84">
        <v>0</v>
      </c>
      <c r="O92" s="86">
        <v>0</v>
      </c>
      <c r="P92" s="83">
        <v>0</v>
      </c>
      <c r="Q92" s="84">
        <v>0</v>
      </c>
      <c r="R92" s="85">
        <v>0</v>
      </c>
      <c r="S92" s="84">
        <v>0</v>
      </c>
      <c r="T92" s="86">
        <v>0</v>
      </c>
      <c r="U92" s="87">
        <v>0</v>
      </c>
      <c r="V92" s="84">
        <v>0</v>
      </c>
      <c r="W92" s="85">
        <v>0</v>
      </c>
      <c r="X92" s="84">
        <v>0</v>
      </c>
      <c r="Y92" s="85">
        <v>0</v>
      </c>
      <c r="Z92" s="83">
        <v>0</v>
      </c>
      <c r="AA92" s="84">
        <v>0</v>
      </c>
      <c r="AB92" s="85">
        <v>0</v>
      </c>
      <c r="AC92" s="84">
        <v>0</v>
      </c>
      <c r="AD92" s="85">
        <v>0</v>
      </c>
      <c r="AE92" s="83">
        <v>0</v>
      </c>
    </row>
    <row r="93" spans="2:31">
      <c r="B93" s="64"/>
      <c r="C93" s="66"/>
      <c r="D93" s="71" t="s">
        <v>137</v>
      </c>
      <c r="E93" s="66"/>
      <c r="F93" s="83">
        <v>0</v>
      </c>
      <c r="G93" s="84">
        <v>0</v>
      </c>
      <c r="H93" s="85">
        <v>0</v>
      </c>
      <c r="I93" s="84">
        <v>0</v>
      </c>
      <c r="J93" s="86">
        <v>0</v>
      </c>
      <c r="K93" s="83">
        <v>0</v>
      </c>
      <c r="L93" s="84">
        <v>0</v>
      </c>
      <c r="M93" s="85">
        <v>0</v>
      </c>
      <c r="N93" s="84">
        <v>0</v>
      </c>
      <c r="O93" s="86">
        <v>0</v>
      </c>
      <c r="P93" s="83">
        <v>0</v>
      </c>
      <c r="Q93" s="84">
        <v>0</v>
      </c>
      <c r="R93" s="85">
        <v>0</v>
      </c>
      <c r="S93" s="84">
        <v>0</v>
      </c>
      <c r="T93" s="86">
        <v>0</v>
      </c>
      <c r="U93" s="87">
        <v>0</v>
      </c>
      <c r="V93" s="84">
        <v>0</v>
      </c>
      <c r="W93" s="85">
        <v>0</v>
      </c>
      <c r="X93" s="84">
        <v>0</v>
      </c>
      <c r="Y93" s="85">
        <v>0</v>
      </c>
      <c r="Z93" s="83">
        <v>0</v>
      </c>
      <c r="AA93" s="84">
        <v>0</v>
      </c>
      <c r="AB93" s="85">
        <v>0</v>
      </c>
      <c r="AC93" s="84">
        <v>0</v>
      </c>
      <c r="AD93" s="85">
        <v>0</v>
      </c>
      <c r="AE93" s="83">
        <v>0</v>
      </c>
    </row>
    <row r="94" spans="2:31">
      <c r="B94" s="64"/>
      <c r="C94" s="66"/>
      <c r="D94" s="66"/>
      <c r="E94" s="66" t="s">
        <v>173</v>
      </c>
      <c r="F94" s="78">
        <v>0</v>
      </c>
      <c r="G94" s="79">
        <v>0</v>
      </c>
      <c r="H94" s="80">
        <v>0</v>
      </c>
      <c r="I94" s="79">
        <v>0</v>
      </c>
      <c r="J94" s="82">
        <v>0</v>
      </c>
      <c r="K94" s="78">
        <v>0</v>
      </c>
      <c r="L94" s="79">
        <v>0</v>
      </c>
      <c r="M94" s="80">
        <v>0</v>
      </c>
      <c r="N94" s="79">
        <v>0</v>
      </c>
      <c r="O94" s="82">
        <v>0</v>
      </c>
      <c r="P94" s="78">
        <v>0</v>
      </c>
      <c r="Q94" s="79">
        <v>0</v>
      </c>
      <c r="R94" s="80">
        <v>0</v>
      </c>
      <c r="S94" s="79">
        <v>0</v>
      </c>
      <c r="T94" s="82">
        <v>0</v>
      </c>
      <c r="U94" s="81">
        <v>0</v>
      </c>
      <c r="V94" s="79">
        <v>0</v>
      </c>
      <c r="W94" s="80">
        <v>0</v>
      </c>
      <c r="X94" s="79">
        <v>0</v>
      </c>
      <c r="Y94" s="80">
        <v>0</v>
      </c>
      <c r="Z94" s="78">
        <v>0</v>
      </c>
      <c r="AA94" s="79">
        <v>0</v>
      </c>
      <c r="AB94" s="80">
        <v>0</v>
      </c>
      <c r="AC94" s="79">
        <v>0</v>
      </c>
      <c r="AD94" s="80">
        <v>0</v>
      </c>
      <c r="AE94" s="78">
        <v>0</v>
      </c>
    </row>
    <row r="95" spans="2:31">
      <c r="B95" s="64"/>
      <c r="C95" s="66"/>
      <c r="D95" s="71"/>
      <c r="E95" s="66"/>
      <c r="F95" s="83">
        <v>0</v>
      </c>
      <c r="G95" s="84">
        <v>0</v>
      </c>
      <c r="H95" s="85">
        <v>0</v>
      </c>
      <c r="I95" s="84">
        <v>0</v>
      </c>
      <c r="J95" s="86">
        <v>0</v>
      </c>
      <c r="K95" s="83">
        <v>0</v>
      </c>
      <c r="L95" s="84">
        <v>0</v>
      </c>
      <c r="M95" s="85">
        <v>0</v>
      </c>
      <c r="N95" s="84">
        <v>0</v>
      </c>
      <c r="O95" s="86">
        <v>0</v>
      </c>
      <c r="P95" s="83">
        <v>0</v>
      </c>
      <c r="Q95" s="84">
        <v>0</v>
      </c>
      <c r="R95" s="85">
        <v>0</v>
      </c>
      <c r="S95" s="84">
        <v>0</v>
      </c>
      <c r="T95" s="86">
        <v>0</v>
      </c>
      <c r="U95" s="87">
        <v>0</v>
      </c>
      <c r="V95" s="84">
        <v>0</v>
      </c>
      <c r="W95" s="85">
        <v>0</v>
      </c>
      <c r="X95" s="84">
        <v>0</v>
      </c>
      <c r="Y95" s="85">
        <v>0</v>
      </c>
      <c r="Z95" s="83">
        <v>0</v>
      </c>
      <c r="AA95" s="84">
        <v>0</v>
      </c>
      <c r="AB95" s="85">
        <v>0</v>
      </c>
      <c r="AC95" s="84">
        <v>0</v>
      </c>
      <c r="AD95" s="85">
        <v>0</v>
      </c>
      <c r="AE95" s="83">
        <v>0</v>
      </c>
    </row>
    <row r="96" spans="2:31">
      <c r="B96" s="64"/>
      <c r="C96" s="66"/>
      <c r="D96" s="71" t="s">
        <v>120</v>
      </c>
      <c r="E96" s="66"/>
      <c r="F96" s="83">
        <v>0</v>
      </c>
      <c r="G96" s="84">
        <v>0</v>
      </c>
      <c r="H96" s="85">
        <v>0</v>
      </c>
      <c r="I96" s="84">
        <v>0</v>
      </c>
      <c r="J96" s="86">
        <v>0</v>
      </c>
      <c r="K96" s="83">
        <v>0</v>
      </c>
      <c r="L96" s="84">
        <v>0</v>
      </c>
      <c r="M96" s="85">
        <v>0</v>
      </c>
      <c r="N96" s="84">
        <v>0</v>
      </c>
      <c r="O96" s="86">
        <v>0</v>
      </c>
      <c r="P96" s="83">
        <v>0</v>
      </c>
      <c r="Q96" s="84">
        <v>0</v>
      </c>
      <c r="R96" s="85">
        <v>0</v>
      </c>
      <c r="S96" s="84">
        <v>0</v>
      </c>
      <c r="T96" s="86">
        <v>0</v>
      </c>
      <c r="U96" s="87">
        <v>0</v>
      </c>
      <c r="V96" s="84">
        <v>0</v>
      </c>
      <c r="W96" s="85">
        <v>0</v>
      </c>
      <c r="X96" s="84">
        <v>0</v>
      </c>
      <c r="Y96" s="85">
        <v>0</v>
      </c>
      <c r="Z96" s="83">
        <v>0</v>
      </c>
      <c r="AA96" s="84">
        <v>0</v>
      </c>
      <c r="AB96" s="85">
        <v>0</v>
      </c>
      <c r="AC96" s="84">
        <v>0</v>
      </c>
      <c r="AD96" s="85">
        <v>0</v>
      </c>
      <c r="AE96" s="83">
        <v>0</v>
      </c>
    </row>
    <row r="97" spans="2:31">
      <c r="B97" s="64"/>
      <c r="C97" s="66"/>
      <c r="D97" s="71"/>
      <c r="E97" s="98" t="s">
        <v>174</v>
      </c>
      <c r="F97" s="78">
        <v>222</v>
      </c>
      <c r="G97" s="79">
        <v>0</v>
      </c>
      <c r="H97" s="80">
        <v>3</v>
      </c>
      <c r="I97" s="79">
        <v>1</v>
      </c>
      <c r="J97" s="82">
        <v>14</v>
      </c>
      <c r="K97" s="78">
        <v>234</v>
      </c>
      <c r="L97" s="79">
        <v>0</v>
      </c>
      <c r="M97" s="80">
        <v>0</v>
      </c>
      <c r="N97" s="79">
        <v>3</v>
      </c>
      <c r="O97" s="82">
        <v>1</v>
      </c>
      <c r="P97" s="78">
        <v>238</v>
      </c>
      <c r="Q97" s="79">
        <v>1</v>
      </c>
      <c r="R97" s="80">
        <v>2</v>
      </c>
      <c r="S97" s="79">
        <v>1</v>
      </c>
      <c r="T97" s="82">
        <v>12</v>
      </c>
      <c r="U97" s="81">
        <v>248</v>
      </c>
      <c r="V97" s="79">
        <v>0</v>
      </c>
      <c r="W97" s="80">
        <v>2</v>
      </c>
      <c r="X97" s="79">
        <v>5</v>
      </c>
      <c r="Y97" s="80">
        <v>2</v>
      </c>
      <c r="Z97" s="78">
        <v>253</v>
      </c>
      <c r="AA97" s="79">
        <v>0</v>
      </c>
      <c r="AB97" s="80">
        <v>0</v>
      </c>
      <c r="AC97" s="79">
        <v>3</v>
      </c>
      <c r="AD97" s="80">
        <v>0</v>
      </c>
      <c r="AE97" s="78">
        <v>256</v>
      </c>
    </row>
    <row r="98" spans="2:31">
      <c r="B98" s="64"/>
      <c r="C98" s="66"/>
      <c r="D98" s="71"/>
      <c r="E98" s="98" t="s">
        <v>175</v>
      </c>
      <c r="F98" s="78">
        <v>12</v>
      </c>
      <c r="G98" s="79">
        <v>0</v>
      </c>
      <c r="H98" s="80">
        <v>0</v>
      </c>
      <c r="I98" s="79">
        <v>0</v>
      </c>
      <c r="J98" s="82">
        <v>0</v>
      </c>
      <c r="K98" s="78">
        <v>12</v>
      </c>
      <c r="L98" s="79">
        <v>0</v>
      </c>
      <c r="M98" s="80">
        <v>0</v>
      </c>
      <c r="N98" s="79">
        <v>0</v>
      </c>
      <c r="O98" s="82">
        <v>0</v>
      </c>
      <c r="P98" s="78">
        <v>12</v>
      </c>
      <c r="Q98" s="79">
        <v>0</v>
      </c>
      <c r="R98" s="80">
        <v>0</v>
      </c>
      <c r="S98" s="79">
        <v>0</v>
      </c>
      <c r="T98" s="82">
        <v>0</v>
      </c>
      <c r="U98" s="81">
        <v>12</v>
      </c>
      <c r="V98" s="79">
        <v>0</v>
      </c>
      <c r="W98" s="80">
        <v>0</v>
      </c>
      <c r="X98" s="79">
        <v>0</v>
      </c>
      <c r="Y98" s="80">
        <v>0</v>
      </c>
      <c r="Z98" s="78">
        <v>12</v>
      </c>
      <c r="AA98" s="79">
        <v>0</v>
      </c>
      <c r="AB98" s="80">
        <v>0</v>
      </c>
      <c r="AC98" s="79">
        <v>0</v>
      </c>
      <c r="AD98" s="80">
        <v>0</v>
      </c>
      <c r="AE98" s="78">
        <v>12</v>
      </c>
    </row>
    <row r="99" spans="2:31">
      <c r="B99" s="64"/>
      <c r="C99" s="66"/>
      <c r="D99" s="71"/>
      <c r="E99" s="98" t="s">
        <v>176</v>
      </c>
      <c r="F99" s="78">
        <v>21</v>
      </c>
      <c r="G99" s="79">
        <v>0</v>
      </c>
      <c r="H99" s="80">
        <v>1</v>
      </c>
      <c r="I99" s="79">
        <v>0</v>
      </c>
      <c r="J99" s="82">
        <v>0</v>
      </c>
      <c r="K99" s="78">
        <v>20</v>
      </c>
      <c r="L99" s="79">
        <v>0</v>
      </c>
      <c r="M99" s="80">
        <v>0</v>
      </c>
      <c r="N99" s="79">
        <v>0</v>
      </c>
      <c r="O99" s="82">
        <v>0</v>
      </c>
      <c r="P99" s="78">
        <v>20</v>
      </c>
      <c r="Q99" s="79">
        <v>0</v>
      </c>
      <c r="R99" s="80">
        <v>0</v>
      </c>
      <c r="S99" s="79">
        <v>0</v>
      </c>
      <c r="T99" s="82">
        <v>0</v>
      </c>
      <c r="U99" s="81">
        <v>20</v>
      </c>
      <c r="V99" s="79">
        <v>0</v>
      </c>
      <c r="W99" s="80">
        <v>0</v>
      </c>
      <c r="X99" s="79">
        <v>0</v>
      </c>
      <c r="Y99" s="80">
        <v>0</v>
      </c>
      <c r="Z99" s="78">
        <v>20</v>
      </c>
      <c r="AA99" s="79">
        <v>0</v>
      </c>
      <c r="AB99" s="80">
        <v>0</v>
      </c>
      <c r="AC99" s="79">
        <v>0</v>
      </c>
      <c r="AD99" s="80">
        <v>0</v>
      </c>
      <c r="AE99" s="78">
        <v>20</v>
      </c>
    </row>
    <row r="100" spans="2:31">
      <c r="B100" s="64"/>
      <c r="C100" s="66"/>
      <c r="D100" s="71"/>
      <c r="E100" s="98" t="s">
        <v>177</v>
      </c>
      <c r="F100" s="78">
        <v>4</v>
      </c>
      <c r="G100" s="79">
        <v>0</v>
      </c>
      <c r="H100" s="80">
        <v>1</v>
      </c>
      <c r="I100" s="79">
        <v>0</v>
      </c>
      <c r="J100" s="82">
        <v>1</v>
      </c>
      <c r="K100" s="78">
        <v>4</v>
      </c>
      <c r="L100" s="79">
        <v>0</v>
      </c>
      <c r="M100" s="80">
        <v>0</v>
      </c>
      <c r="N100" s="79">
        <v>0</v>
      </c>
      <c r="O100" s="82">
        <v>0</v>
      </c>
      <c r="P100" s="78">
        <v>4</v>
      </c>
      <c r="Q100" s="79">
        <v>0</v>
      </c>
      <c r="R100" s="80">
        <v>0</v>
      </c>
      <c r="S100" s="79">
        <v>0</v>
      </c>
      <c r="T100" s="82">
        <v>0</v>
      </c>
      <c r="U100" s="81">
        <v>4</v>
      </c>
      <c r="V100" s="79">
        <v>0</v>
      </c>
      <c r="W100" s="80">
        <v>0</v>
      </c>
      <c r="X100" s="79">
        <v>0</v>
      </c>
      <c r="Y100" s="80">
        <v>0</v>
      </c>
      <c r="Z100" s="78">
        <v>4</v>
      </c>
      <c r="AA100" s="79">
        <v>0</v>
      </c>
      <c r="AB100" s="80">
        <v>0</v>
      </c>
      <c r="AC100" s="79">
        <v>0</v>
      </c>
      <c r="AD100" s="80">
        <v>0</v>
      </c>
      <c r="AE100" s="78">
        <v>4</v>
      </c>
    </row>
    <row r="101" spans="2:31">
      <c r="B101" s="64"/>
      <c r="C101" s="66"/>
      <c r="D101" s="71"/>
      <c r="E101" s="98" t="s">
        <v>178</v>
      </c>
      <c r="F101" s="78">
        <v>0</v>
      </c>
      <c r="G101" s="79">
        <v>0</v>
      </c>
      <c r="H101" s="80">
        <v>0</v>
      </c>
      <c r="I101" s="79">
        <v>0</v>
      </c>
      <c r="J101" s="82">
        <v>0</v>
      </c>
      <c r="K101" s="78">
        <v>0</v>
      </c>
      <c r="L101" s="79">
        <v>0</v>
      </c>
      <c r="M101" s="80">
        <v>0</v>
      </c>
      <c r="N101" s="79">
        <v>0</v>
      </c>
      <c r="O101" s="82">
        <v>0</v>
      </c>
      <c r="P101" s="78">
        <v>0</v>
      </c>
      <c r="Q101" s="79">
        <v>0</v>
      </c>
      <c r="R101" s="80">
        <v>0</v>
      </c>
      <c r="S101" s="79">
        <v>0</v>
      </c>
      <c r="T101" s="82">
        <v>0</v>
      </c>
      <c r="U101" s="81">
        <v>0</v>
      </c>
      <c r="V101" s="79">
        <v>0</v>
      </c>
      <c r="W101" s="80">
        <v>0</v>
      </c>
      <c r="X101" s="79">
        <v>0</v>
      </c>
      <c r="Y101" s="80">
        <v>0</v>
      </c>
      <c r="Z101" s="78">
        <v>0</v>
      </c>
      <c r="AA101" s="79">
        <v>0</v>
      </c>
      <c r="AB101" s="80">
        <v>0</v>
      </c>
      <c r="AC101" s="79">
        <v>0</v>
      </c>
      <c r="AD101" s="80">
        <v>0</v>
      </c>
      <c r="AE101" s="78">
        <v>0</v>
      </c>
    </row>
    <row r="102" spans="2:31">
      <c r="B102" s="64"/>
      <c r="C102" s="66"/>
      <c r="D102" s="71"/>
      <c r="E102" s="98" t="s">
        <v>179</v>
      </c>
      <c r="F102" s="78">
        <v>106</v>
      </c>
      <c r="G102" s="79">
        <v>0</v>
      </c>
      <c r="H102" s="80">
        <v>0</v>
      </c>
      <c r="I102" s="79">
        <v>0.81190449909876683</v>
      </c>
      <c r="J102" s="82">
        <v>16.18809550090123</v>
      </c>
      <c r="K102" s="78">
        <v>123</v>
      </c>
      <c r="L102" s="79">
        <v>0</v>
      </c>
      <c r="M102" s="80">
        <v>1</v>
      </c>
      <c r="N102" s="79">
        <v>7.9190558291480638E-6</v>
      </c>
      <c r="O102" s="82">
        <v>0.9999920809441708</v>
      </c>
      <c r="P102" s="78">
        <v>123</v>
      </c>
      <c r="Q102" s="79">
        <v>0</v>
      </c>
      <c r="R102" s="80">
        <v>0</v>
      </c>
      <c r="S102" s="79">
        <v>0</v>
      </c>
      <c r="T102" s="82">
        <v>1</v>
      </c>
      <c r="U102" s="81">
        <v>124</v>
      </c>
      <c r="V102" s="79">
        <v>0</v>
      </c>
      <c r="W102" s="80">
        <v>0</v>
      </c>
      <c r="X102" s="79">
        <v>0</v>
      </c>
      <c r="Y102" s="80">
        <v>0</v>
      </c>
      <c r="Z102" s="78">
        <v>124</v>
      </c>
      <c r="AA102" s="79">
        <v>0</v>
      </c>
      <c r="AB102" s="80">
        <v>0</v>
      </c>
      <c r="AC102" s="79">
        <v>0</v>
      </c>
      <c r="AD102" s="80">
        <v>0</v>
      </c>
      <c r="AE102" s="78">
        <v>124</v>
      </c>
    </row>
    <row r="103" spans="2:31">
      <c r="B103" s="64"/>
      <c r="C103" s="66"/>
      <c r="D103" s="71"/>
      <c r="E103" s="98" t="s">
        <v>180</v>
      </c>
      <c r="F103" s="78">
        <v>371</v>
      </c>
      <c r="G103" s="79">
        <v>0</v>
      </c>
      <c r="H103" s="80">
        <v>0</v>
      </c>
      <c r="I103" s="79">
        <v>0</v>
      </c>
      <c r="J103" s="82">
        <v>0</v>
      </c>
      <c r="K103" s="78">
        <v>371</v>
      </c>
      <c r="L103" s="79">
        <v>0</v>
      </c>
      <c r="M103" s="80">
        <v>0</v>
      </c>
      <c r="N103" s="79">
        <v>0</v>
      </c>
      <c r="O103" s="82">
        <v>0</v>
      </c>
      <c r="P103" s="78">
        <v>371</v>
      </c>
      <c r="Q103" s="79">
        <v>0</v>
      </c>
      <c r="R103" s="80">
        <v>1</v>
      </c>
      <c r="S103" s="79">
        <v>0</v>
      </c>
      <c r="T103" s="82">
        <v>0</v>
      </c>
      <c r="U103" s="81">
        <v>370</v>
      </c>
      <c r="V103" s="79">
        <v>0</v>
      </c>
      <c r="W103" s="80">
        <v>0</v>
      </c>
      <c r="X103" s="79">
        <v>7</v>
      </c>
      <c r="Y103" s="80">
        <v>0</v>
      </c>
      <c r="Z103" s="78">
        <v>377</v>
      </c>
      <c r="AA103" s="79">
        <v>0</v>
      </c>
      <c r="AB103" s="80">
        <v>0</v>
      </c>
      <c r="AC103" s="79">
        <v>2</v>
      </c>
      <c r="AD103" s="80">
        <v>0</v>
      </c>
      <c r="AE103" s="78">
        <v>379</v>
      </c>
    </row>
    <row r="104" spans="2:31">
      <c r="B104" s="64"/>
      <c r="C104" s="66"/>
      <c r="D104" s="71"/>
      <c r="E104" s="98" t="s">
        <v>181</v>
      </c>
      <c r="F104" s="78">
        <v>1050</v>
      </c>
      <c r="G104" s="79">
        <v>0</v>
      </c>
      <c r="H104" s="80">
        <v>0</v>
      </c>
      <c r="I104" s="79">
        <v>0</v>
      </c>
      <c r="J104" s="82">
        <v>0</v>
      </c>
      <c r="K104" s="78">
        <v>1050</v>
      </c>
      <c r="L104" s="79">
        <v>0</v>
      </c>
      <c r="M104" s="80">
        <v>1</v>
      </c>
      <c r="N104" s="79">
        <v>6.4669749627431568</v>
      </c>
      <c r="O104" s="82">
        <v>6.5330250372568424</v>
      </c>
      <c r="P104" s="78">
        <v>1062</v>
      </c>
      <c r="Q104" s="79">
        <v>0</v>
      </c>
      <c r="R104" s="80">
        <v>6</v>
      </c>
      <c r="S104" s="79">
        <v>0</v>
      </c>
      <c r="T104" s="82">
        <v>0</v>
      </c>
      <c r="U104" s="81">
        <v>1056</v>
      </c>
      <c r="V104" s="79">
        <v>0</v>
      </c>
      <c r="W104" s="80">
        <v>0</v>
      </c>
      <c r="X104" s="79">
        <v>0</v>
      </c>
      <c r="Y104" s="80">
        <v>0</v>
      </c>
      <c r="Z104" s="78">
        <v>1056</v>
      </c>
      <c r="AA104" s="79">
        <v>0</v>
      </c>
      <c r="AB104" s="80">
        <v>0</v>
      </c>
      <c r="AC104" s="79">
        <v>2</v>
      </c>
      <c r="AD104" s="80">
        <v>0</v>
      </c>
      <c r="AE104" s="78">
        <v>1058</v>
      </c>
    </row>
    <row r="105" spans="2:31">
      <c r="B105" s="64"/>
      <c r="C105" s="66"/>
      <c r="D105" s="71"/>
      <c r="E105" s="66"/>
      <c r="F105" s="83">
        <v>0</v>
      </c>
      <c r="G105" s="84">
        <v>0</v>
      </c>
      <c r="H105" s="85">
        <v>0</v>
      </c>
      <c r="I105" s="84">
        <v>0</v>
      </c>
      <c r="J105" s="86">
        <v>0</v>
      </c>
      <c r="K105" s="83">
        <v>0</v>
      </c>
      <c r="L105" s="84">
        <v>0</v>
      </c>
      <c r="M105" s="85">
        <v>0</v>
      </c>
      <c r="N105" s="84">
        <v>0</v>
      </c>
      <c r="O105" s="86">
        <v>0</v>
      </c>
      <c r="P105" s="83">
        <v>0</v>
      </c>
      <c r="Q105" s="84">
        <v>0</v>
      </c>
      <c r="R105" s="85">
        <v>0</v>
      </c>
      <c r="S105" s="84">
        <v>0</v>
      </c>
      <c r="T105" s="86">
        <v>0</v>
      </c>
      <c r="U105" s="87">
        <v>0</v>
      </c>
      <c r="V105" s="84">
        <v>0</v>
      </c>
      <c r="W105" s="85">
        <v>0</v>
      </c>
      <c r="X105" s="84">
        <v>0</v>
      </c>
      <c r="Y105" s="85">
        <v>0</v>
      </c>
      <c r="Z105" s="83">
        <v>0</v>
      </c>
      <c r="AA105" s="84">
        <v>0</v>
      </c>
      <c r="AB105" s="85">
        <v>0</v>
      </c>
      <c r="AC105" s="84">
        <v>0</v>
      </c>
      <c r="AD105" s="85">
        <v>0</v>
      </c>
      <c r="AE105" s="83">
        <v>0</v>
      </c>
    </row>
    <row r="106" spans="2:31">
      <c r="B106" s="64"/>
      <c r="C106" s="66"/>
      <c r="D106" s="71" t="s">
        <v>153</v>
      </c>
      <c r="E106" s="66"/>
      <c r="F106" s="83">
        <v>0</v>
      </c>
      <c r="G106" s="84">
        <v>0</v>
      </c>
      <c r="H106" s="85">
        <v>0</v>
      </c>
      <c r="I106" s="84">
        <v>0</v>
      </c>
      <c r="J106" s="86">
        <v>0</v>
      </c>
      <c r="K106" s="83">
        <v>0</v>
      </c>
      <c r="L106" s="84">
        <v>0</v>
      </c>
      <c r="M106" s="85">
        <v>0</v>
      </c>
      <c r="N106" s="84">
        <v>0</v>
      </c>
      <c r="O106" s="86">
        <v>0</v>
      </c>
      <c r="P106" s="83">
        <v>0</v>
      </c>
      <c r="Q106" s="84">
        <v>0</v>
      </c>
      <c r="R106" s="85">
        <v>0</v>
      </c>
      <c r="S106" s="84">
        <v>0</v>
      </c>
      <c r="T106" s="86">
        <v>0</v>
      </c>
      <c r="U106" s="87">
        <v>0</v>
      </c>
      <c r="V106" s="84">
        <v>0</v>
      </c>
      <c r="W106" s="85">
        <v>0</v>
      </c>
      <c r="X106" s="84">
        <v>0</v>
      </c>
      <c r="Y106" s="85">
        <v>0</v>
      </c>
      <c r="Z106" s="83">
        <v>0</v>
      </c>
      <c r="AA106" s="84">
        <v>0</v>
      </c>
      <c r="AB106" s="85">
        <v>0</v>
      </c>
      <c r="AC106" s="84">
        <v>0</v>
      </c>
      <c r="AD106" s="85">
        <v>0</v>
      </c>
      <c r="AE106" s="83">
        <v>0</v>
      </c>
    </row>
    <row r="107" spans="2:31">
      <c r="B107" s="64"/>
      <c r="C107" s="66"/>
      <c r="D107" s="66"/>
      <c r="E107" s="98" t="s">
        <v>182</v>
      </c>
      <c r="F107" s="78">
        <v>13</v>
      </c>
      <c r="G107" s="79">
        <v>0</v>
      </c>
      <c r="H107" s="80">
        <v>0</v>
      </c>
      <c r="I107" s="79">
        <v>0</v>
      </c>
      <c r="J107" s="82">
        <v>0</v>
      </c>
      <c r="K107" s="78">
        <v>13</v>
      </c>
      <c r="L107" s="79">
        <v>0</v>
      </c>
      <c r="M107" s="80">
        <v>0</v>
      </c>
      <c r="N107" s="79">
        <v>0</v>
      </c>
      <c r="O107" s="82">
        <v>0</v>
      </c>
      <c r="P107" s="78">
        <v>13</v>
      </c>
      <c r="Q107" s="79">
        <v>0</v>
      </c>
      <c r="R107" s="80">
        <v>0</v>
      </c>
      <c r="S107" s="79">
        <v>0</v>
      </c>
      <c r="T107" s="82">
        <v>0</v>
      </c>
      <c r="U107" s="81">
        <v>13</v>
      </c>
      <c r="V107" s="79">
        <v>0</v>
      </c>
      <c r="W107" s="80">
        <v>0</v>
      </c>
      <c r="X107" s="79">
        <v>0</v>
      </c>
      <c r="Y107" s="80">
        <v>0</v>
      </c>
      <c r="Z107" s="78">
        <v>13</v>
      </c>
      <c r="AA107" s="79">
        <v>0</v>
      </c>
      <c r="AB107" s="80">
        <v>0</v>
      </c>
      <c r="AC107" s="79">
        <v>0</v>
      </c>
      <c r="AD107" s="80">
        <v>0</v>
      </c>
      <c r="AE107" s="78">
        <v>13</v>
      </c>
    </row>
    <row r="108" spans="2:31">
      <c r="B108" s="64"/>
      <c r="C108" s="66"/>
      <c r="D108" s="66"/>
      <c r="E108" s="98" t="s">
        <v>183</v>
      </c>
      <c r="F108" s="78">
        <v>139</v>
      </c>
      <c r="G108" s="79">
        <v>0</v>
      </c>
      <c r="H108" s="80">
        <v>2</v>
      </c>
      <c r="I108" s="79">
        <v>1</v>
      </c>
      <c r="J108" s="82">
        <v>2</v>
      </c>
      <c r="K108" s="78">
        <v>140</v>
      </c>
      <c r="L108" s="79">
        <v>0</v>
      </c>
      <c r="M108" s="80">
        <v>0</v>
      </c>
      <c r="N108" s="79">
        <v>1</v>
      </c>
      <c r="O108" s="82">
        <v>0</v>
      </c>
      <c r="P108" s="78">
        <v>141</v>
      </c>
      <c r="Q108" s="79">
        <v>0</v>
      </c>
      <c r="R108" s="80">
        <v>0</v>
      </c>
      <c r="S108" s="79">
        <v>0</v>
      </c>
      <c r="T108" s="82">
        <v>0</v>
      </c>
      <c r="U108" s="81">
        <v>141</v>
      </c>
      <c r="V108" s="79">
        <v>0</v>
      </c>
      <c r="W108" s="80">
        <v>0</v>
      </c>
      <c r="X108" s="79">
        <v>4</v>
      </c>
      <c r="Y108" s="80">
        <v>0</v>
      </c>
      <c r="Z108" s="78">
        <v>145</v>
      </c>
      <c r="AA108" s="79">
        <v>0</v>
      </c>
      <c r="AB108" s="80">
        <v>0</v>
      </c>
      <c r="AC108" s="79">
        <v>2</v>
      </c>
      <c r="AD108" s="80">
        <v>0</v>
      </c>
      <c r="AE108" s="78">
        <v>147</v>
      </c>
    </row>
    <row r="109" spans="2:31">
      <c r="B109" s="64"/>
      <c r="C109" s="66"/>
      <c r="D109" s="66"/>
      <c r="E109" s="66" t="s">
        <v>184</v>
      </c>
      <c r="F109" s="78">
        <v>170</v>
      </c>
      <c r="G109" s="79">
        <v>0</v>
      </c>
      <c r="H109" s="80">
        <v>0</v>
      </c>
      <c r="I109" s="79">
        <v>0</v>
      </c>
      <c r="J109" s="82">
        <v>0</v>
      </c>
      <c r="K109" s="78">
        <v>170</v>
      </c>
      <c r="L109" s="79">
        <v>0</v>
      </c>
      <c r="M109" s="80">
        <v>1</v>
      </c>
      <c r="N109" s="79">
        <v>1.4698124179909744E-5</v>
      </c>
      <c r="O109" s="82">
        <v>0.99998530187582013</v>
      </c>
      <c r="P109" s="78">
        <v>170</v>
      </c>
      <c r="Q109" s="79">
        <v>0</v>
      </c>
      <c r="R109" s="80">
        <v>1</v>
      </c>
      <c r="S109" s="79">
        <v>0</v>
      </c>
      <c r="T109" s="82">
        <v>0</v>
      </c>
      <c r="U109" s="81">
        <v>169</v>
      </c>
      <c r="V109" s="79">
        <v>0</v>
      </c>
      <c r="W109" s="80">
        <v>0</v>
      </c>
      <c r="X109" s="79">
        <v>0</v>
      </c>
      <c r="Y109" s="80">
        <v>0</v>
      </c>
      <c r="Z109" s="78">
        <v>169</v>
      </c>
      <c r="AA109" s="79">
        <v>0</v>
      </c>
      <c r="AB109" s="80">
        <v>0</v>
      </c>
      <c r="AC109" s="79">
        <v>0</v>
      </c>
      <c r="AD109" s="80">
        <v>0</v>
      </c>
      <c r="AE109" s="78">
        <v>169</v>
      </c>
    </row>
    <row r="110" spans="2:31">
      <c r="B110" s="64"/>
      <c r="C110" s="66"/>
      <c r="D110" s="66"/>
      <c r="E110" s="98" t="s">
        <v>185</v>
      </c>
      <c r="F110" s="78">
        <v>190</v>
      </c>
      <c r="G110" s="79">
        <v>0</v>
      </c>
      <c r="H110" s="80">
        <v>0</v>
      </c>
      <c r="I110" s="79">
        <v>0.17032363601497161</v>
      </c>
      <c r="J110" s="82">
        <v>1.8296763639850284</v>
      </c>
      <c r="K110" s="78">
        <v>192</v>
      </c>
      <c r="L110" s="79">
        <v>0</v>
      </c>
      <c r="M110" s="80">
        <v>0</v>
      </c>
      <c r="N110" s="79">
        <v>1.9921069369407614</v>
      </c>
      <c r="O110" s="82">
        <v>2.0078930630592389</v>
      </c>
      <c r="P110" s="78">
        <v>196</v>
      </c>
      <c r="Q110" s="79">
        <v>0</v>
      </c>
      <c r="R110" s="80">
        <v>0</v>
      </c>
      <c r="S110" s="79">
        <v>0</v>
      </c>
      <c r="T110" s="82">
        <v>0</v>
      </c>
      <c r="U110" s="81">
        <v>196</v>
      </c>
      <c r="V110" s="79">
        <v>0</v>
      </c>
      <c r="W110" s="80">
        <v>0</v>
      </c>
      <c r="X110" s="79">
        <v>2</v>
      </c>
      <c r="Y110" s="80">
        <v>0</v>
      </c>
      <c r="Z110" s="78">
        <v>198</v>
      </c>
      <c r="AA110" s="79">
        <v>0</v>
      </c>
      <c r="AB110" s="80">
        <v>4</v>
      </c>
      <c r="AC110" s="79">
        <v>1</v>
      </c>
      <c r="AD110" s="80">
        <v>2</v>
      </c>
      <c r="AE110" s="78">
        <v>197</v>
      </c>
    </row>
    <row r="111" spans="2:31">
      <c r="B111" s="64"/>
      <c r="C111" s="66"/>
      <c r="D111" s="71"/>
      <c r="E111" s="66" t="s">
        <v>186</v>
      </c>
      <c r="F111" s="78">
        <v>352</v>
      </c>
      <c r="G111" s="79">
        <v>0</v>
      </c>
      <c r="H111" s="80">
        <v>0</v>
      </c>
      <c r="I111" s="79">
        <v>8.5161818007485804E-2</v>
      </c>
      <c r="J111" s="82">
        <v>0.91483818199251421</v>
      </c>
      <c r="K111" s="78">
        <v>353</v>
      </c>
      <c r="L111" s="79">
        <v>0</v>
      </c>
      <c r="M111" s="80">
        <v>10</v>
      </c>
      <c r="N111" s="79">
        <v>1.4698124179909742E-4</v>
      </c>
      <c r="O111" s="82">
        <v>9.999853018758202</v>
      </c>
      <c r="P111" s="78">
        <v>353</v>
      </c>
      <c r="Q111" s="79">
        <v>0</v>
      </c>
      <c r="R111" s="80">
        <v>6</v>
      </c>
      <c r="S111" s="79">
        <v>8.8188745079458461E-5</v>
      </c>
      <c r="T111" s="82">
        <v>5.999911811254921</v>
      </c>
      <c r="U111" s="81">
        <v>353</v>
      </c>
      <c r="V111" s="79">
        <v>0</v>
      </c>
      <c r="W111" s="80">
        <v>0</v>
      </c>
      <c r="X111" s="79">
        <v>0</v>
      </c>
      <c r="Y111" s="80">
        <v>0</v>
      </c>
      <c r="Z111" s="78">
        <v>353</v>
      </c>
      <c r="AA111" s="79">
        <v>0</v>
      </c>
      <c r="AB111" s="80">
        <v>4</v>
      </c>
      <c r="AC111" s="79">
        <v>0</v>
      </c>
      <c r="AD111" s="80">
        <v>4</v>
      </c>
      <c r="AE111" s="78">
        <v>353</v>
      </c>
    </row>
    <row r="112" spans="2:31" ht="13.5" thickBot="1">
      <c r="B112" s="88"/>
      <c r="C112" s="89"/>
      <c r="D112" s="89"/>
      <c r="E112" s="89"/>
      <c r="F112" s="90">
        <v>0</v>
      </c>
      <c r="G112" s="91">
        <v>0</v>
      </c>
      <c r="H112" s="92">
        <v>0</v>
      </c>
      <c r="I112" s="91">
        <v>0</v>
      </c>
      <c r="J112" s="93">
        <v>0</v>
      </c>
      <c r="K112" s="94">
        <v>0</v>
      </c>
      <c r="L112" s="91">
        <v>0</v>
      </c>
      <c r="M112" s="92">
        <v>0</v>
      </c>
      <c r="N112" s="91">
        <v>0</v>
      </c>
      <c r="O112" s="93">
        <v>0</v>
      </c>
      <c r="P112" s="94">
        <v>0</v>
      </c>
      <c r="Q112" s="91">
        <v>0</v>
      </c>
      <c r="R112" s="92">
        <v>0</v>
      </c>
      <c r="S112" s="91">
        <v>0</v>
      </c>
      <c r="T112" s="93">
        <v>0</v>
      </c>
      <c r="U112" s="95">
        <v>0</v>
      </c>
      <c r="V112" s="91">
        <v>0</v>
      </c>
      <c r="W112" s="92">
        <v>0</v>
      </c>
      <c r="X112" s="91">
        <v>0</v>
      </c>
      <c r="Y112" s="92">
        <v>0</v>
      </c>
      <c r="Z112" s="94">
        <v>0</v>
      </c>
      <c r="AA112" s="91">
        <v>0</v>
      </c>
      <c r="AB112" s="92">
        <v>0</v>
      </c>
      <c r="AC112" s="91">
        <v>0</v>
      </c>
      <c r="AD112" s="92">
        <v>0</v>
      </c>
      <c r="AE112" s="94">
        <v>0</v>
      </c>
    </row>
    <row r="113" spans="2:31">
      <c r="B113" s="96"/>
      <c r="C113" s="97" t="s">
        <v>187</v>
      </c>
      <c r="D113" s="97"/>
      <c r="E113" s="98"/>
      <c r="F113" s="83">
        <v>0</v>
      </c>
      <c r="G113" s="84">
        <v>0</v>
      </c>
      <c r="H113" s="85">
        <v>0</v>
      </c>
      <c r="I113" s="84">
        <v>0</v>
      </c>
      <c r="J113" s="86">
        <v>0</v>
      </c>
      <c r="K113" s="83">
        <v>0</v>
      </c>
      <c r="L113" s="84">
        <v>0</v>
      </c>
      <c r="M113" s="85">
        <v>0</v>
      </c>
      <c r="N113" s="84">
        <v>0</v>
      </c>
      <c r="O113" s="86">
        <v>0</v>
      </c>
      <c r="P113" s="83">
        <v>0</v>
      </c>
      <c r="Q113" s="84">
        <v>0</v>
      </c>
      <c r="R113" s="85">
        <v>0</v>
      </c>
      <c r="S113" s="84">
        <v>0</v>
      </c>
      <c r="T113" s="86">
        <v>0</v>
      </c>
      <c r="U113" s="87">
        <v>0</v>
      </c>
      <c r="V113" s="84">
        <v>0</v>
      </c>
      <c r="W113" s="85">
        <v>0</v>
      </c>
      <c r="X113" s="84">
        <v>0</v>
      </c>
      <c r="Y113" s="85">
        <v>0</v>
      </c>
      <c r="Z113" s="83">
        <v>0</v>
      </c>
      <c r="AA113" s="84">
        <v>0</v>
      </c>
      <c r="AB113" s="85">
        <v>0</v>
      </c>
      <c r="AC113" s="84">
        <v>0</v>
      </c>
      <c r="AD113" s="85">
        <v>0</v>
      </c>
      <c r="AE113" s="83">
        <v>0</v>
      </c>
    </row>
    <row r="114" spans="2:31">
      <c r="B114" s="64"/>
      <c r="C114" s="66"/>
      <c r="D114" s="71" t="s">
        <v>110</v>
      </c>
      <c r="E114" s="66"/>
      <c r="F114" s="83">
        <v>0</v>
      </c>
      <c r="G114" s="84">
        <v>0</v>
      </c>
      <c r="H114" s="85">
        <v>0</v>
      </c>
      <c r="I114" s="84">
        <v>0</v>
      </c>
      <c r="J114" s="86">
        <v>0</v>
      </c>
      <c r="K114" s="83">
        <v>0</v>
      </c>
      <c r="L114" s="84">
        <v>0</v>
      </c>
      <c r="M114" s="85">
        <v>0</v>
      </c>
      <c r="N114" s="84">
        <v>0</v>
      </c>
      <c r="O114" s="86">
        <v>0</v>
      </c>
      <c r="P114" s="83">
        <v>0</v>
      </c>
      <c r="Q114" s="84">
        <v>0</v>
      </c>
      <c r="R114" s="85">
        <v>0</v>
      </c>
      <c r="S114" s="84">
        <v>0</v>
      </c>
      <c r="T114" s="86">
        <v>0</v>
      </c>
      <c r="U114" s="87">
        <v>0</v>
      </c>
      <c r="V114" s="84">
        <v>0</v>
      </c>
      <c r="W114" s="85">
        <v>0</v>
      </c>
      <c r="X114" s="84">
        <v>0</v>
      </c>
      <c r="Y114" s="85">
        <v>0</v>
      </c>
      <c r="Z114" s="83">
        <v>0</v>
      </c>
      <c r="AA114" s="84">
        <v>0</v>
      </c>
      <c r="AB114" s="85">
        <v>0</v>
      </c>
      <c r="AC114" s="84">
        <v>0</v>
      </c>
      <c r="AD114" s="85">
        <v>0</v>
      </c>
      <c r="AE114" s="83">
        <v>0</v>
      </c>
    </row>
    <row r="115" spans="2:31">
      <c r="B115" s="64"/>
      <c r="C115" s="66"/>
      <c r="D115" s="71"/>
      <c r="E115" s="66" t="s">
        <v>188</v>
      </c>
      <c r="F115" s="78">
        <v>8</v>
      </c>
      <c r="G115" s="79">
        <v>0</v>
      </c>
      <c r="H115" s="80">
        <v>0</v>
      </c>
      <c r="I115" s="79">
        <v>0</v>
      </c>
      <c r="J115" s="82">
        <v>0</v>
      </c>
      <c r="K115" s="78">
        <v>8</v>
      </c>
      <c r="L115" s="79">
        <v>0</v>
      </c>
      <c r="M115" s="80">
        <v>0</v>
      </c>
      <c r="N115" s="79">
        <v>0</v>
      </c>
      <c r="O115" s="82">
        <v>0</v>
      </c>
      <c r="P115" s="78">
        <v>8</v>
      </c>
      <c r="Q115" s="79">
        <v>0</v>
      </c>
      <c r="R115" s="80">
        <v>0</v>
      </c>
      <c r="S115" s="79">
        <v>0</v>
      </c>
      <c r="T115" s="82">
        <v>0</v>
      </c>
      <c r="U115" s="81">
        <v>8</v>
      </c>
      <c r="V115" s="79">
        <v>0</v>
      </c>
      <c r="W115" s="80">
        <v>0</v>
      </c>
      <c r="X115" s="79">
        <v>0</v>
      </c>
      <c r="Y115" s="80">
        <v>0</v>
      </c>
      <c r="Z115" s="78">
        <v>8</v>
      </c>
      <c r="AA115" s="79">
        <v>0</v>
      </c>
      <c r="AB115" s="80">
        <v>0</v>
      </c>
      <c r="AC115" s="79">
        <v>0</v>
      </c>
      <c r="AD115" s="80">
        <v>0</v>
      </c>
      <c r="AE115" s="78">
        <v>8</v>
      </c>
    </row>
    <row r="116" spans="2:31">
      <c r="B116" s="64"/>
      <c r="C116" s="66"/>
      <c r="D116" s="71"/>
      <c r="E116" s="66" t="s">
        <v>189</v>
      </c>
      <c r="F116" s="78">
        <v>600.10699999999997</v>
      </c>
      <c r="G116" s="79">
        <v>0</v>
      </c>
      <c r="H116" s="80">
        <v>10.062999999999874</v>
      </c>
      <c r="I116" s="79">
        <v>0</v>
      </c>
      <c r="J116" s="82">
        <v>10</v>
      </c>
      <c r="K116" s="78">
        <v>600.0440000000001</v>
      </c>
      <c r="L116" s="79">
        <v>0</v>
      </c>
      <c r="M116" s="80">
        <v>0</v>
      </c>
      <c r="N116" s="79">
        <v>0</v>
      </c>
      <c r="O116" s="82">
        <v>0</v>
      </c>
      <c r="P116" s="78">
        <v>600.0440000000001</v>
      </c>
      <c r="Q116" s="79">
        <v>0</v>
      </c>
      <c r="R116" s="80">
        <v>2.02900000000011</v>
      </c>
      <c r="S116" s="79">
        <v>0</v>
      </c>
      <c r="T116" s="82">
        <v>0</v>
      </c>
      <c r="U116" s="81">
        <v>598.01499999999999</v>
      </c>
      <c r="V116" s="79">
        <v>0</v>
      </c>
      <c r="W116" s="80">
        <v>0</v>
      </c>
      <c r="X116" s="79">
        <v>0</v>
      </c>
      <c r="Y116" s="80">
        <v>0</v>
      </c>
      <c r="Z116" s="78">
        <v>598.01499999999999</v>
      </c>
      <c r="AA116" s="79">
        <v>0</v>
      </c>
      <c r="AB116" s="80">
        <v>0</v>
      </c>
      <c r="AC116" s="79">
        <v>0</v>
      </c>
      <c r="AD116" s="80">
        <v>0</v>
      </c>
      <c r="AE116" s="78">
        <v>598.01499999999999</v>
      </c>
    </row>
    <row r="117" spans="2:31">
      <c r="B117" s="64"/>
      <c r="C117" s="66"/>
      <c r="D117" s="71"/>
      <c r="E117" s="98"/>
      <c r="F117" s="83">
        <v>0</v>
      </c>
      <c r="G117" s="84">
        <v>0</v>
      </c>
      <c r="H117" s="85">
        <v>0</v>
      </c>
      <c r="I117" s="84">
        <v>0</v>
      </c>
      <c r="J117" s="86">
        <v>0</v>
      </c>
      <c r="K117" s="83">
        <v>0</v>
      </c>
      <c r="L117" s="84">
        <v>0</v>
      </c>
      <c r="M117" s="85">
        <v>0</v>
      </c>
      <c r="N117" s="84">
        <v>0</v>
      </c>
      <c r="O117" s="86">
        <v>0</v>
      </c>
      <c r="P117" s="83">
        <v>0</v>
      </c>
      <c r="Q117" s="84">
        <v>0</v>
      </c>
      <c r="R117" s="85">
        <v>0</v>
      </c>
      <c r="S117" s="84">
        <v>0</v>
      </c>
      <c r="T117" s="86">
        <v>0</v>
      </c>
      <c r="U117" s="87">
        <v>0</v>
      </c>
      <c r="V117" s="84">
        <v>0</v>
      </c>
      <c r="W117" s="85">
        <v>0</v>
      </c>
      <c r="X117" s="84">
        <v>0</v>
      </c>
      <c r="Y117" s="85">
        <v>0</v>
      </c>
      <c r="Z117" s="83">
        <v>0</v>
      </c>
      <c r="AA117" s="84">
        <v>0</v>
      </c>
      <c r="AB117" s="85">
        <v>0</v>
      </c>
      <c r="AC117" s="84">
        <v>0</v>
      </c>
      <c r="AD117" s="85">
        <v>0</v>
      </c>
      <c r="AE117" s="83">
        <v>0</v>
      </c>
    </row>
    <row r="118" spans="2:31">
      <c r="B118" s="64"/>
      <c r="C118" s="66"/>
      <c r="D118" s="71" t="s">
        <v>113</v>
      </c>
      <c r="E118" s="66"/>
      <c r="F118" s="83">
        <v>0</v>
      </c>
      <c r="G118" s="84">
        <v>0</v>
      </c>
      <c r="H118" s="85">
        <v>0</v>
      </c>
      <c r="I118" s="84">
        <v>0</v>
      </c>
      <c r="J118" s="86">
        <v>0</v>
      </c>
      <c r="K118" s="83">
        <v>0</v>
      </c>
      <c r="L118" s="84">
        <v>0</v>
      </c>
      <c r="M118" s="85">
        <v>0</v>
      </c>
      <c r="N118" s="84">
        <v>0</v>
      </c>
      <c r="O118" s="86">
        <v>0</v>
      </c>
      <c r="P118" s="83">
        <v>0</v>
      </c>
      <c r="Q118" s="84">
        <v>0</v>
      </c>
      <c r="R118" s="85">
        <v>0</v>
      </c>
      <c r="S118" s="84">
        <v>0</v>
      </c>
      <c r="T118" s="86">
        <v>0</v>
      </c>
      <c r="U118" s="87">
        <v>0</v>
      </c>
      <c r="V118" s="84">
        <v>0</v>
      </c>
      <c r="W118" s="85">
        <v>0</v>
      </c>
      <c r="X118" s="84">
        <v>0</v>
      </c>
      <c r="Y118" s="85">
        <v>0</v>
      </c>
      <c r="Z118" s="83">
        <v>0</v>
      </c>
      <c r="AA118" s="84">
        <v>0</v>
      </c>
      <c r="AB118" s="85">
        <v>0</v>
      </c>
      <c r="AC118" s="84">
        <v>0</v>
      </c>
      <c r="AD118" s="85">
        <v>0</v>
      </c>
      <c r="AE118" s="83">
        <v>0</v>
      </c>
    </row>
    <row r="119" spans="2:31">
      <c r="B119" s="64"/>
      <c r="C119" s="66"/>
      <c r="D119" s="71"/>
      <c r="E119" s="66" t="s">
        <v>190</v>
      </c>
      <c r="F119" s="78">
        <v>127</v>
      </c>
      <c r="G119" s="79">
        <v>0</v>
      </c>
      <c r="H119" s="80">
        <v>0</v>
      </c>
      <c r="I119" s="79">
        <v>0</v>
      </c>
      <c r="J119" s="82">
        <v>0</v>
      </c>
      <c r="K119" s="78">
        <v>127</v>
      </c>
      <c r="L119" s="79">
        <v>0</v>
      </c>
      <c r="M119" s="80">
        <v>0</v>
      </c>
      <c r="N119" s="79">
        <v>0</v>
      </c>
      <c r="O119" s="82">
        <v>0</v>
      </c>
      <c r="P119" s="78">
        <v>127</v>
      </c>
      <c r="Q119" s="79">
        <v>0</v>
      </c>
      <c r="R119" s="80">
        <v>0</v>
      </c>
      <c r="S119" s="79">
        <v>0</v>
      </c>
      <c r="T119" s="82">
        <v>0</v>
      </c>
      <c r="U119" s="81">
        <v>127</v>
      </c>
      <c r="V119" s="79">
        <v>0</v>
      </c>
      <c r="W119" s="80">
        <v>5</v>
      </c>
      <c r="X119" s="79">
        <v>2</v>
      </c>
      <c r="Y119" s="80">
        <v>5</v>
      </c>
      <c r="Z119" s="78">
        <v>129</v>
      </c>
      <c r="AA119" s="79">
        <v>0</v>
      </c>
      <c r="AB119" s="80">
        <v>0</v>
      </c>
      <c r="AC119" s="79">
        <v>0</v>
      </c>
      <c r="AD119" s="80">
        <v>0</v>
      </c>
      <c r="AE119" s="78">
        <v>129</v>
      </c>
    </row>
    <row r="120" spans="2:31">
      <c r="B120" s="64"/>
      <c r="C120" s="66"/>
      <c r="D120" s="71"/>
      <c r="E120" s="66" t="s">
        <v>191</v>
      </c>
      <c r="F120" s="78">
        <v>1223</v>
      </c>
      <c r="G120" s="79">
        <v>0</v>
      </c>
      <c r="H120" s="80">
        <v>0</v>
      </c>
      <c r="I120" s="79">
        <v>0</v>
      </c>
      <c r="J120" s="82">
        <v>0</v>
      </c>
      <c r="K120" s="78">
        <v>1223</v>
      </c>
      <c r="L120" s="79">
        <v>0</v>
      </c>
      <c r="M120" s="80">
        <v>0</v>
      </c>
      <c r="N120" s="79">
        <v>0</v>
      </c>
      <c r="O120" s="82">
        <v>0</v>
      </c>
      <c r="P120" s="78">
        <v>1223</v>
      </c>
      <c r="Q120" s="79">
        <v>0</v>
      </c>
      <c r="R120" s="80">
        <v>10</v>
      </c>
      <c r="S120" s="79">
        <v>0</v>
      </c>
      <c r="T120" s="82">
        <v>0</v>
      </c>
      <c r="U120" s="81">
        <v>1213</v>
      </c>
      <c r="V120" s="79">
        <v>0</v>
      </c>
      <c r="W120" s="80">
        <v>0</v>
      </c>
      <c r="X120" s="79">
        <v>26</v>
      </c>
      <c r="Y120" s="80">
        <v>0</v>
      </c>
      <c r="Z120" s="78">
        <v>1239</v>
      </c>
      <c r="AA120" s="79">
        <v>0</v>
      </c>
      <c r="AB120" s="80">
        <v>0</v>
      </c>
      <c r="AC120" s="79">
        <v>0</v>
      </c>
      <c r="AD120" s="80">
        <v>0</v>
      </c>
      <c r="AE120" s="78">
        <v>1239</v>
      </c>
    </row>
    <row r="121" spans="2:31">
      <c r="B121" s="64"/>
      <c r="C121" s="66"/>
      <c r="D121" s="71"/>
      <c r="E121" s="98" t="s">
        <v>192</v>
      </c>
      <c r="F121" s="78">
        <v>2446</v>
      </c>
      <c r="G121" s="79">
        <v>0</v>
      </c>
      <c r="H121" s="80">
        <v>42</v>
      </c>
      <c r="I121" s="79">
        <v>0</v>
      </c>
      <c r="J121" s="82">
        <v>42</v>
      </c>
      <c r="K121" s="78">
        <v>2446</v>
      </c>
      <c r="L121" s="79">
        <v>0</v>
      </c>
      <c r="M121" s="80">
        <v>0</v>
      </c>
      <c r="N121" s="79">
        <v>0</v>
      </c>
      <c r="O121" s="82">
        <v>0</v>
      </c>
      <c r="P121" s="78">
        <v>2446</v>
      </c>
      <c r="Q121" s="79">
        <v>0</v>
      </c>
      <c r="R121" s="80">
        <v>20</v>
      </c>
      <c r="S121" s="79">
        <v>0</v>
      </c>
      <c r="T121" s="82">
        <v>0</v>
      </c>
      <c r="U121" s="81">
        <v>2426</v>
      </c>
      <c r="V121" s="79">
        <v>0</v>
      </c>
      <c r="W121" s="80">
        <v>0</v>
      </c>
      <c r="X121" s="79">
        <v>52</v>
      </c>
      <c r="Y121" s="80">
        <v>0</v>
      </c>
      <c r="Z121" s="78">
        <v>2478</v>
      </c>
      <c r="AA121" s="79">
        <v>0</v>
      </c>
      <c r="AB121" s="80">
        <v>0</v>
      </c>
      <c r="AC121" s="79">
        <v>0</v>
      </c>
      <c r="AD121" s="80">
        <v>0</v>
      </c>
      <c r="AE121" s="78">
        <v>2478</v>
      </c>
    </row>
    <row r="122" spans="2:31">
      <c r="B122" s="64"/>
      <c r="C122" s="66"/>
      <c r="D122" s="66"/>
      <c r="E122" s="66"/>
      <c r="F122" s="83">
        <v>0</v>
      </c>
      <c r="G122" s="84">
        <v>0</v>
      </c>
      <c r="H122" s="85">
        <v>0</v>
      </c>
      <c r="I122" s="84">
        <v>0</v>
      </c>
      <c r="J122" s="86">
        <v>0</v>
      </c>
      <c r="K122" s="83">
        <v>0</v>
      </c>
      <c r="L122" s="84">
        <v>0</v>
      </c>
      <c r="M122" s="85">
        <v>0</v>
      </c>
      <c r="N122" s="84">
        <v>0</v>
      </c>
      <c r="O122" s="86">
        <v>0</v>
      </c>
      <c r="P122" s="83">
        <v>0</v>
      </c>
      <c r="Q122" s="84">
        <v>0</v>
      </c>
      <c r="R122" s="85">
        <v>0</v>
      </c>
      <c r="S122" s="84">
        <v>0</v>
      </c>
      <c r="T122" s="86">
        <v>0</v>
      </c>
      <c r="U122" s="87">
        <v>0</v>
      </c>
      <c r="V122" s="84">
        <v>0</v>
      </c>
      <c r="W122" s="85">
        <v>0</v>
      </c>
      <c r="X122" s="84">
        <v>0</v>
      </c>
      <c r="Y122" s="85">
        <v>0</v>
      </c>
      <c r="Z122" s="83">
        <v>0</v>
      </c>
      <c r="AA122" s="84">
        <v>0</v>
      </c>
      <c r="AB122" s="85">
        <v>0</v>
      </c>
      <c r="AC122" s="84">
        <v>0</v>
      </c>
      <c r="AD122" s="85">
        <v>0</v>
      </c>
      <c r="AE122" s="83">
        <v>0</v>
      </c>
    </row>
    <row r="123" spans="2:31">
      <c r="B123" s="64"/>
      <c r="C123" s="66"/>
      <c r="D123" s="71" t="s">
        <v>134</v>
      </c>
      <c r="E123" s="66"/>
      <c r="F123" s="83">
        <v>0</v>
      </c>
      <c r="G123" s="84">
        <v>0</v>
      </c>
      <c r="H123" s="85">
        <v>0</v>
      </c>
      <c r="I123" s="84">
        <v>0</v>
      </c>
      <c r="J123" s="86">
        <v>0</v>
      </c>
      <c r="K123" s="83">
        <v>0</v>
      </c>
      <c r="L123" s="84">
        <v>0</v>
      </c>
      <c r="M123" s="85">
        <v>0</v>
      </c>
      <c r="N123" s="84">
        <v>0</v>
      </c>
      <c r="O123" s="86">
        <v>0</v>
      </c>
      <c r="P123" s="83">
        <v>0</v>
      </c>
      <c r="Q123" s="84">
        <v>0</v>
      </c>
      <c r="R123" s="85">
        <v>0</v>
      </c>
      <c r="S123" s="84">
        <v>0</v>
      </c>
      <c r="T123" s="86">
        <v>0</v>
      </c>
      <c r="U123" s="87">
        <v>0</v>
      </c>
      <c r="V123" s="84">
        <v>0</v>
      </c>
      <c r="W123" s="85">
        <v>0</v>
      </c>
      <c r="X123" s="84">
        <v>0</v>
      </c>
      <c r="Y123" s="85">
        <v>0</v>
      </c>
      <c r="Z123" s="83">
        <v>0</v>
      </c>
      <c r="AA123" s="84">
        <v>0</v>
      </c>
      <c r="AB123" s="85">
        <v>0</v>
      </c>
      <c r="AC123" s="84">
        <v>0</v>
      </c>
      <c r="AD123" s="85">
        <v>0</v>
      </c>
      <c r="AE123" s="83">
        <v>0</v>
      </c>
    </row>
    <row r="124" spans="2:31">
      <c r="B124" s="64"/>
      <c r="C124" s="66"/>
      <c r="D124" s="66"/>
      <c r="E124" s="66" t="s">
        <v>193</v>
      </c>
      <c r="F124" s="78">
        <v>21.767000000000003</v>
      </c>
      <c r="G124" s="79">
        <v>0</v>
      </c>
      <c r="H124" s="80">
        <v>3.6281699999999999</v>
      </c>
      <c r="I124" s="79">
        <v>0</v>
      </c>
      <c r="J124" s="82">
        <v>3.6281699999999999</v>
      </c>
      <c r="K124" s="78">
        <v>21.767000000000003</v>
      </c>
      <c r="L124" s="79">
        <v>0</v>
      </c>
      <c r="M124" s="80">
        <v>0</v>
      </c>
      <c r="N124" s="79">
        <v>0</v>
      </c>
      <c r="O124" s="82">
        <v>0</v>
      </c>
      <c r="P124" s="78">
        <v>21.767000000000003</v>
      </c>
      <c r="Q124" s="79">
        <v>0</v>
      </c>
      <c r="R124" s="80">
        <v>0</v>
      </c>
      <c r="S124" s="79">
        <v>0</v>
      </c>
      <c r="T124" s="82">
        <v>0</v>
      </c>
      <c r="U124" s="81">
        <v>21.767000000000003</v>
      </c>
      <c r="V124" s="79">
        <v>0</v>
      </c>
      <c r="W124" s="80">
        <v>0</v>
      </c>
      <c r="X124" s="79">
        <v>0.76</v>
      </c>
      <c r="Y124" s="80">
        <v>0</v>
      </c>
      <c r="Z124" s="78">
        <v>22.527000000000005</v>
      </c>
      <c r="AA124" s="79">
        <v>0</v>
      </c>
      <c r="AB124" s="80">
        <v>0</v>
      </c>
      <c r="AC124" s="79">
        <v>0</v>
      </c>
      <c r="AD124" s="80">
        <v>1</v>
      </c>
      <c r="AE124" s="78">
        <v>23.527000000000005</v>
      </c>
    </row>
    <row r="125" spans="2:31">
      <c r="B125" s="64"/>
      <c r="C125" s="66"/>
      <c r="D125" s="66"/>
      <c r="E125" s="66" t="s">
        <v>194</v>
      </c>
      <c r="F125" s="78">
        <v>61.755000000000003</v>
      </c>
      <c r="G125" s="79">
        <v>0</v>
      </c>
      <c r="H125" s="80">
        <v>0</v>
      </c>
      <c r="I125" s="79">
        <v>0</v>
      </c>
      <c r="J125" s="82">
        <v>0</v>
      </c>
      <c r="K125" s="78">
        <v>61.755000000000003</v>
      </c>
      <c r="L125" s="79">
        <v>1</v>
      </c>
      <c r="M125" s="80">
        <v>0</v>
      </c>
      <c r="N125" s="79">
        <v>1</v>
      </c>
      <c r="O125" s="82">
        <v>0</v>
      </c>
      <c r="P125" s="78">
        <v>61.755000000000003</v>
      </c>
      <c r="Q125" s="79">
        <v>0</v>
      </c>
      <c r="R125" s="80">
        <v>0</v>
      </c>
      <c r="S125" s="79">
        <v>0</v>
      </c>
      <c r="T125" s="82">
        <v>0</v>
      </c>
      <c r="U125" s="81">
        <v>61.755000000000003</v>
      </c>
      <c r="V125" s="79">
        <v>0</v>
      </c>
      <c r="W125" s="80">
        <v>0</v>
      </c>
      <c r="X125" s="79">
        <v>0</v>
      </c>
      <c r="Y125" s="80">
        <v>0</v>
      </c>
      <c r="Z125" s="78">
        <v>61.755000000000003</v>
      </c>
      <c r="AA125" s="79">
        <v>0</v>
      </c>
      <c r="AB125" s="80">
        <v>1</v>
      </c>
      <c r="AC125" s="79">
        <v>0</v>
      </c>
      <c r="AD125" s="80">
        <v>0</v>
      </c>
      <c r="AE125" s="78">
        <v>60.755000000000003</v>
      </c>
    </row>
    <row r="126" spans="2:31">
      <c r="B126" s="64"/>
      <c r="C126" s="66"/>
      <c r="D126" s="66"/>
      <c r="E126" s="66" t="s">
        <v>195</v>
      </c>
      <c r="F126" s="78">
        <v>5.8369999999999997</v>
      </c>
      <c r="G126" s="79">
        <v>0</v>
      </c>
      <c r="H126" s="80">
        <v>0</v>
      </c>
      <c r="I126" s="79">
        <v>0</v>
      </c>
      <c r="J126" s="82">
        <v>0</v>
      </c>
      <c r="K126" s="78">
        <v>5.8369999999999997</v>
      </c>
      <c r="L126" s="79">
        <v>0</v>
      </c>
      <c r="M126" s="80">
        <v>0</v>
      </c>
      <c r="N126" s="79">
        <v>0</v>
      </c>
      <c r="O126" s="82">
        <v>0</v>
      </c>
      <c r="P126" s="78">
        <v>5.8369999999999997</v>
      </c>
      <c r="Q126" s="79">
        <v>0</v>
      </c>
      <c r="R126" s="80">
        <v>0</v>
      </c>
      <c r="S126" s="79">
        <v>0</v>
      </c>
      <c r="T126" s="82">
        <v>0</v>
      </c>
      <c r="U126" s="81">
        <v>5.8369999999999997</v>
      </c>
      <c r="V126" s="79">
        <v>0</v>
      </c>
      <c r="W126" s="80">
        <v>0</v>
      </c>
      <c r="X126" s="79">
        <v>0</v>
      </c>
      <c r="Y126" s="80">
        <v>0</v>
      </c>
      <c r="Z126" s="78">
        <v>5.8369999999999997</v>
      </c>
      <c r="AA126" s="79">
        <v>0</v>
      </c>
      <c r="AB126" s="80">
        <v>0</v>
      </c>
      <c r="AC126" s="79">
        <v>0</v>
      </c>
      <c r="AD126" s="80">
        <v>0</v>
      </c>
      <c r="AE126" s="78">
        <v>5.8369999999999997</v>
      </c>
    </row>
    <row r="127" spans="2:31">
      <c r="B127" s="64"/>
      <c r="C127" s="66"/>
      <c r="D127" s="66"/>
      <c r="E127" s="66"/>
      <c r="F127" s="83">
        <v>0</v>
      </c>
      <c r="G127" s="84">
        <v>0</v>
      </c>
      <c r="H127" s="85">
        <v>0</v>
      </c>
      <c r="I127" s="84">
        <v>0</v>
      </c>
      <c r="J127" s="86">
        <v>0</v>
      </c>
      <c r="K127" s="83">
        <v>0</v>
      </c>
      <c r="L127" s="84">
        <v>0</v>
      </c>
      <c r="M127" s="85">
        <v>0</v>
      </c>
      <c r="N127" s="84">
        <v>0</v>
      </c>
      <c r="O127" s="86">
        <v>0</v>
      </c>
      <c r="P127" s="83">
        <v>0</v>
      </c>
      <c r="Q127" s="84">
        <v>0</v>
      </c>
      <c r="R127" s="85">
        <v>0</v>
      </c>
      <c r="S127" s="84">
        <v>0</v>
      </c>
      <c r="T127" s="86">
        <v>0</v>
      </c>
      <c r="U127" s="87">
        <v>0</v>
      </c>
      <c r="V127" s="84">
        <v>0</v>
      </c>
      <c r="W127" s="85">
        <v>0</v>
      </c>
      <c r="X127" s="84">
        <v>0</v>
      </c>
      <c r="Y127" s="85">
        <v>0</v>
      </c>
      <c r="Z127" s="83">
        <v>0</v>
      </c>
      <c r="AA127" s="84">
        <v>0</v>
      </c>
      <c r="AB127" s="85">
        <v>0</v>
      </c>
      <c r="AC127" s="84">
        <v>0</v>
      </c>
      <c r="AD127" s="85">
        <v>0</v>
      </c>
      <c r="AE127" s="83">
        <v>0</v>
      </c>
    </row>
    <row r="128" spans="2:31">
      <c r="B128" s="64"/>
      <c r="C128" s="66"/>
      <c r="D128" s="71" t="s">
        <v>137</v>
      </c>
      <c r="E128" s="66"/>
      <c r="F128" s="83">
        <v>0</v>
      </c>
      <c r="G128" s="84">
        <v>0</v>
      </c>
      <c r="H128" s="85">
        <v>0</v>
      </c>
      <c r="I128" s="84">
        <v>0</v>
      </c>
      <c r="J128" s="86">
        <v>0</v>
      </c>
      <c r="K128" s="83">
        <v>0</v>
      </c>
      <c r="L128" s="84">
        <v>0</v>
      </c>
      <c r="M128" s="85">
        <v>0</v>
      </c>
      <c r="N128" s="84">
        <v>0</v>
      </c>
      <c r="O128" s="86">
        <v>0</v>
      </c>
      <c r="P128" s="83">
        <v>0</v>
      </c>
      <c r="Q128" s="84">
        <v>0</v>
      </c>
      <c r="R128" s="85">
        <v>0</v>
      </c>
      <c r="S128" s="84">
        <v>0</v>
      </c>
      <c r="T128" s="86">
        <v>0</v>
      </c>
      <c r="U128" s="87">
        <v>0</v>
      </c>
      <c r="V128" s="84">
        <v>0</v>
      </c>
      <c r="W128" s="85">
        <v>0</v>
      </c>
      <c r="X128" s="84">
        <v>0</v>
      </c>
      <c r="Y128" s="85">
        <v>0</v>
      </c>
      <c r="Z128" s="83">
        <v>0</v>
      </c>
      <c r="AA128" s="84">
        <v>0</v>
      </c>
      <c r="AB128" s="85">
        <v>0</v>
      </c>
      <c r="AC128" s="84">
        <v>0</v>
      </c>
      <c r="AD128" s="85">
        <v>0</v>
      </c>
      <c r="AE128" s="83">
        <v>0</v>
      </c>
    </row>
    <row r="129" spans="2:31">
      <c r="B129" s="64"/>
      <c r="C129" s="66"/>
      <c r="D129" s="66"/>
      <c r="E129" s="98" t="s">
        <v>196</v>
      </c>
      <c r="F129" s="78">
        <v>0</v>
      </c>
      <c r="G129" s="79">
        <v>0</v>
      </c>
      <c r="H129" s="80">
        <v>0</v>
      </c>
      <c r="I129" s="79">
        <v>0</v>
      </c>
      <c r="J129" s="82">
        <v>0</v>
      </c>
      <c r="K129" s="78">
        <v>0</v>
      </c>
      <c r="L129" s="79">
        <v>0</v>
      </c>
      <c r="M129" s="80">
        <v>0</v>
      </c>
      <c r="N129" s="79">
        <v>0</v>
      </c>
      <c r="O129" s="82">
        <v>0</v>
      </c>
      <c r="P129" s="78">
        <v>0</v>
      </c>
      <c r="Q129" s="79">
        <v>0</v>
      </c>
      <c r="R129" s="80">
        <v>0</v>
      </c>
      <c r="S129" s="79">
        <v>0</v>
      </c>
      <c r="T129" s="82">
        <v>0</v>
      </c>
      <c r="U129" s="81">
        <v>0</v>
      </c>
      <c r="V129" s="79">
        <v>0</v>
      </c>
      <c r="W129" s="80">
        <v>0</v>
      </c>
      <c r="X129" s="79">
        <v>0</v>
      </c>
      <c r="Y129" s="80">
        <v>0</v>
      </c>
      <c r="Z129" s="78">
        <v>0</v>
      </c>
      <c r="AA129" s="79">
        <v>0</v>
      </c>
      <c r="AB129" s="80">
        <v>0</v>
      </c>
      <c r="AC129" s="79">
        <v>0</v>
      </c>
      <c r="AD129" s="80">
        <v>0</v>
      </c>
      <c r="AE129" s="78">
        <v>0</v>
      </c>
    </row>
    <row r="130" spans="2:31">
      <c r="B130" s="64"/>
      <c r="C130" s="66"/>
      <c r="D130" s="66"/>
      <c r="E130" s="66"/>
      <c r="F130" s="83">
        <v>0</v>
      </c>
      <c r="G130" s="84">
        <v>0</v>
      </c>
      <c r="H130" s="85">
        <v>0</v>
      </c>
      <c r="I130" s="84">
        <v>0</v>
      </c>
      <c r="J130" s="86">
        <v>0</v>
      </c>
      <c r="K130" s="83">
        <v>0</v>
      </c>
      <c r="L130" s="84">
        <v>0</v>
      </c>
      <c r="M130" s="85">
        <v>0</v>
      </c>
      <c r="N130" s="84">
        <v>0</v>
      </c>
      <c r="O130" s="86">
        <v>0</v>
      </c>
      <c r="P130" s="83">
        <v>0</v>
      </c>
      <c r="Q130" s="84">
        <v>0</v>
      </c>
      <c r="R130" s="85">
        <v>0</v>
      </c>
      <c r="S130" s="84">
        <v>0</v>
      </c>
      <c r="T130" s="86">
        <v>0</v>
      </c>
      <c r="U130" s="87">
        <v>0</v>
      </c>
      <c r="V130" s="84">
        <v>0</v>
      </c>
      <c r="W130" s="85">
        <v>0</v>
      </c>
      <c r="X130" s="84">
        <v>0</v>
      </c>
      <c r="Y130" s="85">
        <v>0</v>
      </c>
      <c r="Z130" s="83">
        <v>0</v>
      </c>
      <c r="AA130" s="84">
        <v>0</v>
      </c>
      <c r="AB130" s="85">
        <v>0</v>
      </c>
      <c r="AC130" s="84">
        <v>0</v>
      </c>
      <c r="AD130" s="85">
        <v>0</v>
      </c>
      <c r="AE130" s="83">
        <v>0</v>
      </c>
    </row>
    <row r="131" spans="2:31">
      <c r="B131" s="64"/>
      <c r="C131" s="66"/>
      <c r="D131" s="71" t="s">
        <v>120</v>
      </c>
      <c r="E131" s="66"/>
      <c r="F131" s="83">
        <v>0</v>
      </c>
      <c r="G131" s="84">
        <v>0</v>
      </c>
      <c r="H131" s="85">
        <v>0</v>
      </c>
      <c r="I131" s="84">
        <v>0</v>
      </c>
      <c r="J131" s="86">
        <v>0</v>
      </c>
      <c r="K131" s="83">
        <v>0</v>
      </c>
      <c r="L131" s="84">
        <v>0</v>
      </c>
      <c r="M131" s="85">
        <v>0</v>
      </c>
      <c r="N131" s="84">
        <v>0</v>
      </c>
      <c r="O131" s="86">
        <v>0</v>
      </c>
      <c r="P131" s="83">
        <v>0</v>
      </c>
      <c r="Q131" s="84">
        <v>0</v>
      </c>
      <c r="R131" s="85">
        <v>0</v>
      </c>
      <c r="S131" s="84">
        <v>0</v>
      </c>
      <c r="T131" s="86">
        <v>0</v>
      </c>
      <c r="U131" s="87">
        <v>0</v>
      </c>
      <c r="V131" s="84">
        <v>0</v>
      </c>
      <c r="W131" s="85">
        <v>0</v>
      </c>
      <c r="X131" s="84">
        <v>0</v>
      </c>
      <c r="Y131" s="85">
        <v>0</v>
      </c>
      <c r="Z131" s="83">
        <v>0</v>
      </c>
      <c r="AA131" s="84">
        <v>0</v>
      </c>
      <c r="AB131" s="85">
        <v>0</v>
      </c>
      <c r="AC131" s="84">
        <v>0</v>
      </c>
      <c r="AD131" s="85">
        <v>0</v>
      </c>
      <c r="AE131" s="83">
        <v>0</v>
      </c>
    </row>
    <row r="132" spans="2:31">
      <c r="B132" s="64"/>
      <c r="C132" s="66"/>
      <c r="D132" s="66"/>
      <c r="E132" s="66" t="s">
        <v>197</v>
      </c>
      <c r="F132" s="78">
        <v>80</v>
      </c>
      <c r="G132" s="79">
        <v>0</v>
      </c>
      <c r="H132" s="80">
        <v>1</v>
      </c>
      <c r="I132" s="79">
        <v>0</v>
      </c>
      <c r="J132" s="82">
        <v>0</v>
      </c>
      <c r="K132" s="78">
        <v>79</v>
      </c>
      <c r="L132" s="79">
        <v>0</v>
      </c>
      <c r="M132" s="80">
        <v>0</v>
      </c>
      <c r="N132" s="79">
        <v>0</v>
      </c>
      <c r="O132" s="82">
        <v>0</v>
      </c>
      <c r="P132" s="78">
        <v>79</v>
      </c>
      <c r="Q132" s="79">
        <v>0</v>
      </c>
      <c r="R132" s="80">
        <v>0</v>
      </c>
      <c r="S132" s="79">
        <v>1</v>
      </c>
      <c r="T132" s="82">
        <v>0</v>
      </c>
      <c r="U132" s="81">
        <v>80</v>
      </c>
      <c r="V132" s="79">
        <v>0</v>
      </c>
      <c r="W132" s="80">
        <v>0</v>
      </c>
      <c r="X132" s="79">
        <v>0</v>
      </c>
      <c r="Y132" s="80">
        <v>0</v>
      </c>
      <c r="Z132" s="78">
        <v>80</v>
      </c>
      <c r="AA132" s="79">
        <v>0</v>
      </c>
      <c r="AB132" s="80">
        <v>0</v>
      </c>
      <c r="AC132" s="79">
        <v>0</v>
      </c>
      <c r="AD132" s="80">
        <v>0</v>
      </c>
      <c r="AE132" s="78">
        <v>80</v>
      </c>
    </row>
    <row r="133" spans="2:31">
      <c r="B133" s="64"/>
      <c r="C133" s="66"/>
      <c r="D133" s="66"/>
      <c r="E133" s="66" t="s">
        <v>198</v>
      </c>
      <c r="F133" s="78">
        <v>374</v>
      </c>
      <c r="G133" s="79">
        <v>1</v>
      </c>
      <c r="H133" s="80">
        <v>1</v>
      </c>
      <c r="I133" s="79">
        <v>1</v>
      </c>
      <c r="J133" s="82">
        <v>0</v>
      </c>
      <c r="K133" s="78">
        <v>373</v>
      </c>
      <c r="L133" s="79">
        <v>5</v>
      </c>
      <c r="M133" s="80">
        <v>0</v>
      </c>
      <c r="N133" s="79">
        <v>5</v>
      </c>
      <c r="O133" s="82">
        <v>0</v>
      </c>
      <c r="P133" s="78">
        <v>373</v>
      </c>
      <c r="Q133" s="79">
        <v>4</v>
      </c>
      <c r="R133" s="80">
        <v>0</v>
      </c>
      <c r="S133" s="79">
        <v>9</v>
      </c>
      <c r="T133" s="82">
        <v>0</v>
      </c>
      <c r="U133" s="81">
        <v>378</v>
      </c>
      <c r="V133" s="79">
        <v>0</v>
      </c>
      <c r="W133" s="80">
        <v>0</v>
      </c>
      <c r="X133" s="79">
        <v>0</v>
      </c>
      <c r="Y133" s="80">
        <v>0</v>
      </c>
      <c r="Z133" s="78">
        <v>378</v>
      </c>
      <c r="AA133" s="79">
        <v>3</v>
      </c>
      <c r="AB133" s="80">
        <v>0</v>
      </c>
      <c r="AC133" s="79">
        <v>4</v>
      </c>
      <c r="AD133" s="80">
        <v>0</v>
      </c>
      <c r="AE133" s="78">
        <v>379</v>
      </c>
    </row>
    <row r="134" spans="2:31">
      <c r="B134" s="64"/>
      <c r="C134" s="66"/>
      <c r="D134" s="66"/>
      <c r="E134" s="66"/>
      <c r="F134" s="83">
        <v>0</v>
      </c>
      <c r="G134" s="84">
        <v>0</v>
      </c>
      <c r="H134" s="85">
        <v>0</v>
      </c>
      <c r="I134" s="84">
        <v>0</v>
      </c>
      <c r="J134" s="86">
        <v>0</v>
      </c>
      <c r="K134" s="83">
        <v>0</v>
      </c>
      <c r="L134" s="84">
        <v>0</v>
      </c>
      <c r="M134" s="85">
        <v>0</v>
      </c>
      <c r="N134" s="84">
        <v>0</v>
      </c>
      <c r="O134" s="86">
        <v>0</v>
      </c>
      <c r="P134" s="83">
        <v>0</v>
      </c>
      <c r="Q134" s="84">
        <v>0</v>
      </c>
      <c r="R134" s="85">
        <v>0</v>
      </c>
      <c r="S134" s="84">
        <v>0</v>
      </c>
      <c r="T134" s="86">
        <v>0</v>
      </c>
      <c r="U134" s="87">
        <v>0</v>
      </c>
      <c r="V134" s="84">
        <v>0</v>
      </c>
      <c r="W134" s="85">
        <v>0</v>
      </c>
      <c r="X134" s="84">
        <v>0</v>
      </c>
      <c r="Y134" s="85">
        <v>0</v>
      </c>
      <c r="Z134" s="83">
        <v>0</v>
      </c>
      <c r="AA134" s="84">
        <v>0</v>
      </c>
      <c r="AB134" s="85">
        <v>0</v>
      </c>
      <c r="AC134" s="84">
        <v>0</v>
      </c>
      <c r="AD134" s="85">
        <v>0</v>
      </c>
      <c r="AE134" s="83">
        <v>0</v>
      </c>
    </row>
    <row r="135" spans="2:31">
      <c r="B135" s="64"/>
      <c r="C135" s="66"/>
      <c r="D135" s="71" t="s">
        <v>153</v>
      </c>
      <c r="E135" s="66"/>
      <c r="F135" s="83">
        <v>0</v>
      </c>
      <c r="G135" s="84">
        <v>0</v>
      </c>
      <c r="H135" s="85">
        <v>0</v>
      </c>
      <c r="I135" s="84">
        <v>0</v>
      </c>
      <c r="J135" s="86">
        <v>0</v>
      </c>
      <c r="K135" s="83">
        <v>0</v>
      </c>
      <c r="L135" s="84">
        <v>0</v>
      </c>
      <c r="M135" s="85">
        <v>0</v>
      </c>
      <c r="N135" s="84">
        <v>0</v>
      </c>
      <c r="O135" s="86">
        <v>0</v>
      </c>
      <c r="P135" s="83">
        <v>0</v>
      </c>
      <c r="Q135" s="84">
        <v>0</v>
      </c>
      <c r="R135" s="85">
        <v>0</v>
      </c>
      <c r="S135" s="84">
        <v>0</v>
      </c>
      <c r="T135" s="86">
        <v>0</v>
      </c>
      <c r="U135" s="87">
        <v>0</v>
      </c>
      <c r="V135" s="84">
        <v>0</v>
      </c>
      <c r="W135" s="85">
        <v>0</v>
      </c>
      <c r="X135" s="84">
        <v>0</v>
      </c>
      <c r="Y135" s="85">
        <v>0</v>
      </c>
      <c r="Z135" s="83">
        <v>0</v>
      </c>
      <c r="AA135" s="84">
        <v>0</v>
      </c>
      <c r="AB135" s="85">
        <v>0</v>
      </c>
      <c r="AC135" s="84">
        <v>0</v>
      </c>
      <c r="AD135" s="85">
        <v>0</v>
      </c>
      <c r="AE135" s="83">
        <v>0</v>
      </c>
    </row>
    <row r="136" spans="2:31">
      <c r="B136" s="64"/>
      <c r="C136" s="66"/>
      <c r="D136" s="66"/>
      <c r="E136" s="98" t="s">
        <v>199</v>
      </c>
      <c r="F136" s="78">
        <v>77</v>
      </c>
      <c r="G136" s="79">
        <v>0</v>
      </c>
      <c r="H136" s="80">
        <v>1</v>
      </c>
      <c r="I136" s="79">
        <v>0</v>
      </c>
      <c r="J136" s="82">
        <v>1</v>
      </c>
      <c r="K136" s="78">
        <v>77</v>
      </c>
      <c r="L136" s="79">
        <v>2</v>
      </c>
      <c r="M136" s="80">
        <v>0</v>
      </c>
      <c r="N136" s="79">
        <v>2</v>
      </c>
      <c r="O136" s="82">
        <v>0</v>
      </c>
      <c r="P136" s="78">
        <v>77</v>
      </c>
      <c r="Q136" s="79">
        <v>0</v>
      </c>
      <c r="R136" s="80">
        <v>0</v>
      </c>
      <c r="S136" s="79">
        <v>0</v>
      </c>
      <c r="T136" s="82">
        <v>1</v>
      </c>
      <c r="U136" s="81">
        <v>78</v>
      </c>
      <c r="V136" s="79">
        <v>0</v>
      </c>
      <c r="W136" s="80">
        <v>0</v>
      </c>
      <c r="X136" s="79">
        <v>1</v>
      </c>
      <c r="Y136" s="80">
        <v>0</v>
      </c>
      <c r="Z136" s="78">
        <v>79</v>
      </c>
      <c r="AA136" s="79">
        <v>1</v>
      </c>
      <c r="AB136" s="80">
        <v>0</v>
      </c>
      <c r="AC136" s="79">
        <v>1</v>
      </c>
      <c r="AD136" s="80">
        <v>0</v>
      </c>
      <c r="AE136" s="78">
        <v>79</v>
      </c>
    </row>
    <row r="137" spans="2:31">
      <c r="B137" s="64"/>
      <c r="C137" s="66"/>
      <c r="D137" s="66"/>
      <c r="E137" s="98" t="s">
        <v>200</v>
      </c>
      <c r="F137" s="78">
        <v>185</v>
      </c>
      <c r="G137" s="79">
        <v>0</v>
      </c>
      <c r="H137" s="80">
        <v>0</v>
      </c>
      <c r="I137" s="79">
        <v>0</v>
      </c>
      <c r="J137" s="82">
        <v>0</v>
      </c>
      <c r="K137" s="78">
        <v>185</v>
      </c>
      <c r="L137" s="79">
        <v>2</v>
      </c>
      <c r="M137" s="80">
        <v>0</v>
      </c>
      <c r="N137" s="79">
        <v>2</v>
      </c>
      <c r="O137" s="82">
        <v>0</v>
      </c>
      <c r="P137" s="78">
        <v>185</v>
      </c>
      <c r="Q137" s="79">
        <v>0</v>
      </c>
      <c r="R137" s="80">
        <v>0</v>
      </c>
      <c r="S137" s="79">
        <v>0</v>
      </c>
      <c r="T137" s="82">
        <v>1</v>
      </c>
      <c r="U137" s="81">
        <v>186</v>
      </c>
      <c r="V137" s="79">
        <v>0</v>
      </c>
      <c r="W137" s="80">
        <v>0</v>
      </c>
      <c r="X137" s="79">
        <v>0</v>
      </c>
      <c r="Y137" s="80">
        <v>0</v>
      </c>
      <c r="Z137" s="78">
        <v>186</v>
      </c>
      <c r="AA137" s="79">
        <v>1</v>
      </c>
      <c r="AB137" s="80">
        <v>0</v>
      </c>
      <c r="AC137" s="79">
        <v>1</v>
      </c>
      <c r="AD137" s="80">
        <v>0</v>
      </c>
      <c r="AE137" s="78">
        <v>186</v>
      </c>
    </row>
    <row r="138" spans="2:31" ht="13.5" thickBot="1">
      <c r="B138" s="88"/>
      <c r="C138" s="89"/>
      <c r="D138" s="89"/>
      <c r="E138" s="89"/>
      <c r="F138" s="90">
        <v>0</v>
      </c>
      <c r="G138" s="91">
        <v>0</v>
      </c>
      <c r="H138" s="92">
        <v>0</v>
      </c>
      <c r="I138" s="91">
        <v>0</v>
      </c>
      <c r="J138" s="93">
        <v>0</v>
      </c>
      <c r="K138" s="94">
        <v>0</v>
      </c>
      <c r="L138" s="91">
        <v>0</v>
      </c>
      <c r="M138" s="92">
        <v>0</v>
      </c>
      <c r="N138" s="91">
        <v>0</v>
      </c>
      <c r="O138" s="93">
        <v>0</v>
      </c>
      <c r="P138" s="94">
        <v>0</v>
      </c>
      <c r="Q138" s="91">
        <v>0</v>
      </c>
      <c r="R138" s="92">
        <v>0</v>
      </c>
      <c r="S138" s="91">
        <v>0</v>
      </c>
      <c r="T138" s="93">
        <v>0</v>
      </c>
      <c r="U138" s="95">
        <v>0</v>
      </c>
      <c r="V138" s="91">
        <v>0</v>
      </c>
      <c r="W138" s="92">
        <v>0</v>
      </c>
      <c r="X138" s="91">
        <v>0</v>
      </c>
      <c r="Y138" s="92">
        <v>0</v>
      </c>
      <c r="Z138" s="94">
        <v>0</v>
      </c>
      <c r="AA138" s="91">
        <v>0</v>
      </c>
      <c r="AB138" s="92">
        <v>0</v>
      </c>
      <c r="AC138" s="91">
        <v>0</v>
      </c>
      <c r="AD138" s="92">
        <v>0</v>
      </c>
      <c r="AE138" s="94">
        <v>0</v>
      </c>
    </row>
    <row r="139" spans="2:31">
      <c r="B139" s="96"/>
      <c r="C139" s="97" t="s">
        <v>201</v>
      </c>
      <c r="D139" s="97"/>
      <c r="E139" s="98"/>
      <c r="F139" s="83">
        <v>0</v>
      </c>
      <c r="G139" s="84">
        <v>0</v>
      </c>
      <c r="H139" s="85">
        <v>0</v>
      </c>
      <c r="I139" s="84">
        <v>0</v>
      </c>
      <c r="J139" s="86">
        <v>0</v>
      </c>
      <c r="K139" s="83">
        <v>0</v>
      </c>
      <c r="L139" s="84">
        <v>0</v>
      </c>
      <c r="M139" s="85">
        <v>0</v>
      </c>
      <c r="N139" s="84">
        <v>0</v>
      </c>
      <c r="O139" s="86">
        <v>0</v>
      </c>
      <c r="P139" s="83">
        <v>0</v>
      </c>
      <c r="Q139" s="84">
        <v>0</v>
      </c>
      <c r="R139" s="85">
        <v>0</v>
      </c>
      <c r="S139" s="84">
        <v>0</v>
      </c>
      <c r="T139" s="86">
        <v>0</v>
      </c>
      <c r="U139" s="87">
        <v>0</v>
      </c>
      <c r="V139" s="84">
        <v>0</v>
      </c>
      <c r="W139" s="85">
        <v>0</v>
      </c>
      <c r="X139" s="84">
        <v>0</v>
      </c>
      <c r="Y139" s="85">
        <v>0</v>
      </c>
      <c r="Z139" s="83">
        <v>0</v>
      </c>
      <c r="AA139" s="84">
        <v>0</v>
      </c>
      <c r="AB139" s="85">
        <v>0</v>
      </c>
      <c r="AC139" s="84">
        <v>0</v>
      </c>
      <c r="AD139" s="85">
        <v>0</v>
      </c>
      <c r="AE139" s="83">
        <v>0</v>
      </c>
    </row>
    <row r="140" spans="2:31">
      <c r="B140" s="64"/>
      <c r="C140" s="66"/>
      <c r="D140" s="71" t="s">
        <v>202</v>
      </c>
      <c r="E140" s="66"/>
      <c r="F140" s="83">
        <v>0</v>
      </c>
      <c r="G140" s="84">
        <v>0</v>
      </c>
      <c r="H140" s="85">
        <v>0</v>
      </c>
      <c r="I140" s="84">
        <v>0</v>
      </c>
      <c r="J140" s="86">
        <v>0</v>
      </c>
      <c r="K140" s="83">
        <v>0</v>
      </c>
      <c r="L140" s="84">
        <v>0</v>
      </c>
      <c r="M140" s="85">
        <v>0</v>
      </c>
      <c r="N140" s="84">
        <v>0</v>
      </c>
      <c r="O140" s="86">
        <v>0</v>
      </c>
      <c r="P140" s="83">
        <v>0</v>
      </c>
      <c r="Q140" s="84">
        <v>0</v>
      </c>
      <c r="R140" s="85">
        <v>0</v>
      </c>
      <c r="S140" s="84">
        <v>0</v>
      </c>
      <c r="T140" s="86">
        <v>0</v>
      </c>
      <c r="U140" s="87">
        <v>0</v>
      </c>
      <c r="V140" s="84">
        <v>0</v>
      </c>
      <c r="W140" s="85">
        <v>0</v>
      </c>
      <c r="X140" s="84">
        <v>0</v>
      </c>
      <c r="Y140" s="85">
        <v>0</v>
      </c>
      <c r="Z140" s="83">
        <v>0</v>
      </c>
      <c r="AA140" s="84">
        <v>0</v>
      </c>
      <c r="AB140" s="85">
        <v>0</v>
      </c>
      <c r="AC140" s="84">
        <v>0</v>
      </c>
      <c r="AD140" s="85">
        <v>0</v>
      </c>
      <c r="AE140" s="83">
        <v>0</v>
      </c>
    </row>
    <row r="141" spans="2:31">
      <c r="B141" s="64"/>
      <c r="C141" s="66"/>
      <c r="D141" s="66"/>
      <c r="E141" s="98" t="s">
        <v>203</v>
      </c>
      <c r="F141" s="78">
        <v>0</v>
      </c>
      <c r="G141" s="79">
        <v>0</v>
      </c>
      <c r="H141" s="80">
        <v>0</v>
      </c>
      <c r="I141" s="79">
        <v>0</v>
      </c>
      <c r="J141" s="82">
        <v>0</v>
      </c>
      <c r="K141" s="78">
        <v>0</v>
      </c>
      <c r="L141" s="79">
        <v>0</v>
      </c>
      <c r="M141" s="80">
        <v>0</v>
      </c>
      <c r="N141" s="79">
        <v>0</v>
      </c>
      <c r="O141" s="82">
        <v>0</v>
      </c>
      <c r="P141" s="78">
        <v>0</v>
      </c>
      <c r="Q141" s="79">
        <v>0</v>
      </c>
      <c r="R141" s="80">
        <v>0</v>
      </c>
      <c r="S141" s="79">
        <v>0</v>
      </c>
      <c r="T141" s="82">
        <v>0</v>
      </c>
      <c r="U141" s="81">
        <v>0</v>
      </c>
      <c r="V141" s="79">
        <v>0</v>
      </c>
      <c r="W141" s="80">
        <v>0</v>
      </c>
      <c r="X141" s="79">
        <v>0</v>
      </c>
      <c r="Y141" s="80">
        <v>0</v>
      </c>
      <c r="Z141" s="78">
        <v>0</v>
      </c>
      <c r="AA141" s="79">
        <v>0</v>
      </c>
      <c r="AB141" s="80">
        <v>0</v>
      </c>
      <c r="AC141" s="79">
        <v>0</v>
      </c>
      <c r="AD141" s="80">
        <v>0</v>
      </c>
      <c r="AE141" s="78">
        <v>0</v>
      </c>
    </row>
    <row r="142" spans="2:31">
      <c r="B142" s="64"/>
      <c r="C142" s="66"/>
      <c r="D142" s="66"/>
      <c r="E142" s="98" t="s">
        <v>204</v>
      </c>
      <c r="F142" s="78">
        <v>362</v>
      </c>
      <c r="G142" s="79">
        <v>0</v>
      </c>
      <c r="H142" s="80">
        <v>0</v>
      </c>
      <c r="I142" s="79">
        <v>0</v>
      </c>
      <c r="J142" s="82">
        <v>3</v>
      </c>
      <c r="K142" s="78">
        <v>365</v>
      </c>
      <c r="L142" s="79">
        <v>0</v>
      </c>
      <c r="M142" s="80">
        <v>0</v>
      </c>
      <c r="N142" s="79">
        <v>0</v>
      </c>
      <c r="O142" s="82">
        <v>0</v>
      </c>
      <c r="P142" s="78">
        <v>365</v>
      </c>
      <c r="Q142" s="79">
        <v>0</v>
      </c>
      <c r="R142" s="80">
        <v>0</v>
      </c>
      <c r="S142" s="79">
        <v>0</v>
      </c>
      <c r="T142" s="82">
        <v>0</v>
      </c>
      <c r="U142" s="81">
        <v>365</v>
      </c>
      <c r="V142" s="79">
        <v>0</v>
      </c>
      <c r="W142" s="80">
        <v>0</v>
      </c>
      <c r="X142" s="79">
        <v>0</v>
      </c>
      <c r="Y142" s="80">
        <v>0</v>
      </c>
      <c r="Z142" s="78">
        <v>365</v>
      </c>
      <c r="AA142" s="79">
        <v>0</v>
      </c>
      <c r="AB142" s="80">
        <v>0</v>
      </c>
      <c r="AC142" s="79">
        <v>0</v>
      </c>
      <c r="AD142" s="80">
        <v>0</v>
      </c>
      <c r="AE142" s="78">
        <v>365</v>
      </c>
    </row>
    <row r="143" spans="2:31">
      <c r="B143" s="64"/>
      <c r="C143" s="98"/>
      <c r="D143" s="71"/>
      <c r="E143" s="66"/>
      <c r="F143" s="83">
        <v>0</v>
      </c>
      <c r="G143" s="84">
        <v>0</v>
      </c>
      <c r="H143" s="85">
        <v>0</v>
      </c>
      <c r="I143" s="84">
        <v>0</v>
      </c>
      <c r="J143" s="86">
        <v>0</v>
      </c>
      <c r="K143" s="83">
        <v>0</v>
      </c>
      <c r="L143" s="84">
        <v>0</v>
      </c>
      <c r="M143" s="85">
        <v>0</v>
      </c>
      <c r="N143" s="84">
        <v>0</v>
      </c>
      <c r="O143" s="86">
        <v>0</v>
      </c>
      <c r="P143" s="83">
        <v>0</v>
      </c>
      <c r="Q143" s="84">
        <v>0</v>
      </c>
      <c r="R143" s="85">
        <v>0</v>
      </c>
      <c r="S143" s="84">
        <v>0</v>
      </c>
      <c r="T143" s="86">
        <v>0</v>
      </c>
      <c r="U143" s="87">
        <v>0</v>
      </c>
      <c r="V143" s="84">
        <v>0</v>
      </c>
      <c r="W143" s="85">
        <v>0</v>
      </c>
      <c r="X143" s="84">
        <v>0</v>
      </c>
      <c r="Y143" s="85">
        <v>0</v>
      </c>
      <c r="Z143" s="83">
        <v>0</v>
      </c>
      <c r="AA143" s="84">
        <v>0</v>
      </c>
      <c r="AB143" s="85">
        <v>0</v>
      </c>
      <c r="AC143" s="84">
        <v>0</v>
      </c>
      <c r="AD143" s="85">
        <v>0</v>
      </c>
      <c r="AE143" s="83">
        <v>0</v>
      </c>
    </row>
    <row r="144" spans="2:31">
      <c r="B144" s="64"/>
      <c r="C144" s="66"/>
      <c r="D144" s="71" t="s">
        <v>205</v>
      </c>
      <c r="E144" s="66"/>
      <c r="F144" s="83">
        <v>0</v>
      </c>
      <c r="G144" s="84">
        <v>0</v>
      </c>
      <c r="H144" s="85">
        <v>0</v>
      </c>
      <c r="I144" s="84">
        <v>0</v>
      </c>
      <c r="J144" s="86">
        <v>0</v>
      </c>
      <c r="K144" s="83">
        <v>0</v>
      </c>
      <c r="L144" s="84">
        <v>0</v>
      </c>
      <c r="M144" s="85">
        <v>0</v>
      </c>
      <c r="N144" s="84">
        <v>0</v>
      </c>
      <c r="O144" s="86">
        <v>0</v>
      </c>
      <c r="P144" s="83">
        <v>0</v>
      </c>
      <c r="Q144" s="84">
        <v>0</v>
      </c>
      <c r="R144" s="85">
        <v>0</v>
      </c>
      <c r="S144" s="84">
        <v>0</v>
      </c>
      <c r="T144" s="86">
        <v>0</v>
      </c>
      <c r="U144" s="87">
        <v>0</v>
      </c>
      <c r="V144" s="84">
        <v>0</v>
      </c>
      <c r="W144" s="85">
        <v>0</v>
      </c>
      <c r="X144" s="84">
        <v>0</v>
      </c>
      <c r="Y144" s="85">
        <v>0</v>
      </c>
      <c r="Z144" s="83">
        <v>0</v>
      </c>
      <c r="AA144" s="84">
        <v>0</v>
      </c>
      <c r="AB144" s="85">
        <v>0</v>
      </c>
      <c r="AC144" s="84">
        <v>0</v>
      </c>
      <c r="AD144" s="85">
        <v>0</v>
      </c>
      <c r="AE144" s="83">
        <v>0</v>
      </c>
    </row>
    <row r="145" spans="2:31">
      <c r="B145" s="64"/>
      <c r="C145" s="66"/>
      <c r="D145" s="66"/>
      <c r="E145" s="98" t="s">
        <v>206</v>
      </c>
      <c r="F145" s="78">
        <v>266</v>
      </c>
      <c r="G145" s="79">
        <v>0</v>
      </c>
      <c r="H145" s="80">
        <v>0</v>
      </c>
      <c r="I145" s="79">
        <v>0</v>
      </c>
      <c r="J145" s="82">
        <v>262</v>
      </c>
      <c r="K145" s="78">
        <v>528</v>
      </c>
      <c r="L145" s="79">
        <v>0</v>
      </c>
      <c r="M145" s="80">
        <v>0</v>
      </c>
      <c r="N145" s="79">
        <v>0</v>
      </c>
      <c r="O145" s="82">
        <v>57</v>
      </c>
      <c r="P145" s="78">
        <v>585</v>
      </c>
      <c r="Q145" s="79">
        <v>0</v>
      </c>
      <c r="R145" s="80">
        <v>0</v>
      </c>
      <c r="S145" s="79">
        <v>0</v>
      </c>
      <c r="T145" s="82">
        <v>132</v>
      </c>
      <c r="U145" s="81">
        <v>717</v>
      </c>
      <c r="V145" s="79">
        <v>0</v>
      </c>
      <c r="W145" s="80">
        <v>0</v>
      </c>
      <c r="X145" s="79">
        <v>0</v>
      </c>
      <c r="Y145" s="80">
        <v>44</v>
      </c>
      <c r="Z145" s="78">
        <v>761</v>
      </c>
      <c r="AA145" s="79">
        <v>0</v>
      </c>
      <c r="AB145" s="80">
        <v>0</v>
      </c>
      <c r="AC145" s="79">
        <v>0</v>
      </c>
      <c r="AD145" s="80">
        <v>42.35</v>
      </c>
      <c r="AE145" s="78">
        <v>803.35</v>
      </c>
    </row>
    <row r="146" spans="2:31">
      <c r="B146" s="64"/>
      <c r="C146" s="66"/>
      <c r="D146" s="66"/>
      <c r="E146" s="98" t="s">
        <v>207</v>
      </c>
      <c r="F146" s="78">
        <v>0</v>
      </c>
      <c r="G146" s="79">
        <v>0</v>
      </c>
      <c r="H146" s="80">
        <v>0</v>
      </c>
      <c r="I146" s="79">
        <v>0</v>
      </c>
      <c r="J146" s="82">
        <v>0</v>
      </c>
      <c r="K146" s="78">
        <v>0</v>
      </c>
      <c r="L146" s="79">
        <v>0</v>
      </c>
      <c r="M146" s="80">
        <v>0</v>
      </c>
      <c r="N146" s="79">
        <v>0</v>
      </c>
      <c r="O146" s="82">
        <v>225</v>
      </c>
      <c r="P146" s="78">
        <v>225</v>
      </c>
      <c r="Q146" s="79">
        <v>0</v>
      </c>
      <c r="R146" s="80">
        <v>0</v>
      </c>
      <c r="S146" s="79">
        <v>0</v>
      </c>
      <c r="T146" s="82">
        <v>257</v>
      </c>
      <c r="U146" s="81">
        <v>482</v>
      </c>
      <c r="V146" s="79">
        <v>0</v>
      </c>
      <c r="W146" s="80">
        <v>0</v>
      </c>
      <c r="X146" s="79">
        <v>0</v>
      </c>
      <c r="Y146" s="80">
        <v>250</v>
      </c>
      <c r="Z146" s="78">
        <v>732</v>
      </c>
      <c r="AA146" s="79">
        <v>0</v>
      </c>
      <c r="AB146" s="80">
        <v>0</v>
      </c>
      <c r="AC146" s="79">
        <v>0</v>
      </c>
      <c r="AD146" s="80">
        <v>291.35050000000001</v>
      </c>
      <c r="AE146" s="78">
        <v>1023.3505</v>
      </c>
    </row>
    <row r="147" spans="2:31" ht="13.5" thickBot="1">
      <c r="B147" s="88"/>
      <c r="C147" s="89"/>
      <c r="D147" s="89"/>
      <c r="E147" s="89"/>
      <c r="F147" s="90">
        <v>0</v>
      </c>
      <c r="G147" s="91">
        <v>0</v>
      </c>
      <c r="H147" s="92">
        <v>0</v>
      </c>
      <c r="I147" s="91">
        <v>0</v>
      </c>
      <c r="J147" s="93">
        <v>0</v>
      </c>
      <c r="K147" s="94">
        <v>0</v>
      </c>
      <c r="L147" s="91">
        <v>0</v>
      </c>
      <c r="M147" s="92">
        <v>0</v>
      </c>
      <c r="N147" s="91">
        <v>0</v>
      </c>
      <c r="O147" s="93">
        <v>0</v>
      </c>
      <c r="P147" s="94">
        <v>0</v>
      </c>
      <c r="Q147" s="91">
        <v>0</v>
      </c>
      <c r="R147" s="92">
        <v>0</v>
      </c>
      <c r="S147" s="91">
        <v>0</v>
      </c>
      <c r="T147" s="93">
        <v>0</v>
      </c>
      <c r="U147" s="104">
        <v>0</v>
      </c>
      <c r="V147" s="91">
        <v>0</v>
      </c>
      <c r="W147" s="92">
        <v>0</v>
      </c>
      <c r="X147" s="91">
        <v>0</v>
      </c>
      <c r="Y147" s="92">
        <v>0</v>
      </c>
      <c r="Z147" s="94">
        <v>0</v>
      </c>
      <c r="AA147" s="91">
        <v>0</v>
      </c>
      <c r="AB147" s="92">
        <v>0</v>
      </c>
      <c r="AC147" s="91">
        <v>0</v>
      </c>
      <c r="AD147" s="92">
        <v>0</v>
      </c>
      <c r="AE147" s="94">
        <v>0</v>
      </c>
    </row>
  </sheetData>
  <mergeCells count="17">
    <mergeCell ref="AC8:AD8"/>
    <mergeCell ref="AA7:AE7"/>
    <mergeCell ref="G8:H8"/>
    <mergeCell ref="I8:J8"/>
    <mergeCell ref="L8:M8"/>
    <mergeCell ref="N8:O8"/>
    <mergeCell ref="Q8:R8"/>
    <mergeCell ref="S8:T8"/>
    <mergeCell ref="V8:W8"/>
    <mergeCell ref="X8:Y8"/>
    <mergeCell ref="AA8:AB8"/>
    <mergeCell ref="V7:Z7"/>
    <mergeCell ref="B7:E9"/>
    <mergeCell ref="F7:F9"/>
    <mergeCell ref="G7:K7"/>
    <mergeCell ref="L7:P7"/>
    <mergeCell ref="Q7:U7"/>
  </mergeCells>
  <phoneticPr fontId="1" type="noConversion"/>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5FFFF"/>
    <pageSetUpPr fitToPage="1"/>
  </sheetPr>
  <dimension ref="A1:T144"/>
  <sheetViews>
    <sheetView topLeftCell="E5" workbookViewId="0">
      <selection activeCell="J16" sqref="J16:J17"/>
    </sheetView>
  </sheetViews>
  <sheetFormatPr defaultColWidth="8.85546875" defaultRowHeight="12.75"/>
  <cols>
    <col min="1" max="1" width="8.85546875" customWidth="1"/>
    <col min="2" max="2" width="18.42578125" customWidth="1"/>
    <col min="3" max="3" width="10.42578125" customWidth="1"/>
    <col min="4" max="5" width="12.85546875" bestFit="1" customWidth="1"/>
    <col min="6" max="6" width="13.5703125" bestFit="1" customWidth="1"/>
    <col min="7" max="9" width="13.140625" bestFit="1" customWidth="1"/>
    <col min="10" max="10" width="12.85546875" bestFit="1" customWidth="1"/>
    <col min="11" max="12" width="13.140625" bestFit="1" customWidth="1"/>
    <col min="13" max="13" width="12.85546875" bestFit="1" customWidth="1"/>
    <col min="15" max="17" width="11.7109375" customWidth="1"/>
    <col min="19" max="20" width="9" bestFit="1" customWidth="1"/>
  </cols>
  <sheetData>
    <row r="1" spans="1:20">
      <c r="A1" s="47" t="s">
        <v>94</v>
      </c>
      <c r="F1" s="44"/>
    </row>
    <row r="3" spans="1:20">
      <c r="A3" s="47" t="s">
        <v>208</v>
      </c>
    </row>
    <row r="6" spans="1:20" s="111" customFormat="1" ht="15.75" customHeight="1">
      <c r="A6" s="105"/>
      <c r="B6" s="106" t="s">
        <v>209</v>
      </c>
      <c r="C6" s="107"/>
      <c r="D6" s="108"/>
      <c r="E6" s="108"/>
      <c r="F6" s="108"/>
      <c r="G6" s="108"/>
      <c r="H6" s="108"/>
      <c r="I6" s="108"/>
      <c r="J6" s="108"/>
      <c r="K6" s="108"/>
      <c r="L6" s="108"/>
      <c r="M6" s="108"/>
      <c r="N6" s="108"/>
      <c r="O6" s="109"/>
      <c r="P6" s="109"/>
      <c r="Q6" s="109"/>
      <c r="R6" s="110"/>
      <c r="S6" s="108"/>
      <c r="T6" s="108"/>
    </row>
    <row r="7" spans="1:20" ht="13.5" thickBot="1">
      <c r="A7" s="112"/>
      <c r="B7" s="112"/>
      <c r="C7" s="113"/>
      <c r="D7" s="112"/>
      <c r="E7" s="112"/>
      <c r="F7" s="112"/>
      <c r="G7" s="112"/>
      <c r="H7" s="112"/>
      <c r="I7" s="112"/>
      <c r="J7" s="112"/>
      <c r="K7" s="112"/>
      <c r="L7" s="112"/>
      <c r="M7" s="112"/>
      <c r="N7" s="112"/>
      <c r="O7" s="112"/>
      <c r="P7" s="112"/>
      <c r="Q7" s="112"/>
      <c r="R7" s="114"/>
      <c r="S7" s="112"/>
      <c r="T7" s="112"/>
    </row>
    <row r="8" spans="1:20" ht="15.75" customHeight="1">
      <c r="A8" s="112"/>
      <c r="B8" s="1493" t="s">
        <v>209</v>
      </c>
      <c r="C8" s="1495" t="s">
        <v>210</v>
      </c>
      <c r="D8" s="115" t="s">
        <v>211</v>
      </c>
      <c r="E8" s="116"/>
      <c r="F8" s="116"/>
      <c r="G8" s="116"/>
      <c r="H8" s="117"/>
      <c r="I8" s="116" t="s">
        <v>212</v>
      </c>
      <c r="J8" s="118"/>
      <c r="K8" s="118"/>
      <c r="L8" s="118"/>
      <c r="M8" s="117"/>
      <c r="N8" s="112"/>
      <c r="O8" s="119" t="s">
        <v>211</v>
      </c>
      <c r="P8" s="120"/>
      <c r="Q8" s="121"/>
      <c r="R8" s="114"/>
      <c r="S8" s="119" t="s">
        <v>212</v>
      </c>
      <c r="T8" s="121"/>
    </row>
    <row r="9" spans="1:20" ht="25.5">
      <c r="A9" s="112"/>
      <c r="B9" s="1494"/>
      <c r="C9" s="1496"/>
      <c r="D9" s="122" t="s">
        <v>99</v>
      </c>
      <c r="E9" s="123" t="s">
        <v>100</v>
      </c>
      <c r="F9" s="123" t="s">
        <v>101</v>
      </c>
      <c r="G9" s="123" t="s">
        <v>102</v>
      </c>
      <c r="H9" s="124" t="s">
        <v>64</v>
      </c>
      <c r="I9" s="125" t="s">
        <v>213</v>
      </c>
      <c r="J9" s="123" t="s">
        <v>214</v>
      </c>
      <c r="K9" s="123" t="s">
        <v>215</v>
      </c>
      <c r="L9" s="123" t="s">
        <v>216</v>
      </c>
      <c r="M9" s="124" t="s">
        <v>217</v>
      </c>
      <c r="N9" s="112"/>
      <c r="O9" s="126" t="s">
        <v>218</v>
      </c>
      <c r="P9" s="127" t="s">
        <v>219</v>
      </c>
      <c r="Q9" s="128" t="s">
        <v>220</v>
      </c>
      <c r="R9" s="114"/>
      <c r="S9" s="126" t="s">
        <v>219</v>
      </c>
      <c r="T9" s="128" t="s">
        <v>221</v>
      </c>
    </row>
    <row r="10" spans="1:20" s="111" customFormat="1" ht="15.75" customHeight="1">
      <c r="A10" s="105"/>
      <c r="B10" s="129" t="s">
        <v>222</v>
      </c>
      <c r="C10" s="130" t="s">
        <v>223</v>
      </c>
      <c r="D10" s="131">
        <v>28.572161890503931</v>
      </c>
      <c r="E10" s="132">
        <v>23.700000000000003</v>
      </c>
      <c r="F10" s="132">
        <v>31.3</v>
      </c>
      <c r="G10" s="132">
        <v>30.5</v>
      </c>
      <c r="H10" s="133">
        <v>20.367080534767005</v>
      </c>
      <c r="I10" s="132">
        <v>24.920400000000001</v>
      </c>
      <c r="J10" s="134">
        <v>26.836473659981756</v>
      </c>
      <c r="K10" s="134">
        <v>28.567150333807238</v>
      </c>
      <c r="L10" s="134">
        <v>27.756739806597523</v>
      </c>
      <c r="M10" s="133">
        <v>29.999740672985574</v>
      </c>
      <c r="N10" s="109"/>
      <c r="O10" s="135">
        <v>83.572161890503935</v>
      </c>
      <c r="P10" s="136">
        <v>50.867080534767005</v>
      </c>
      <c r="Q10" s="137">
        <v>134.43924242527095</v>
      </c>
      <c r="R10" s="110"/>
      <c r="S10" s="135">
        <v>138.08050447337209</v>
      </c>
      <c r="T10" s="137">
        <v>2.7084815284682689E-2</v>
      </c>
    </row>
    <row r="11" spans="1:20" s="111" customFormat="1" ht="15.75" customHeight="1">
      <c r="A11" s="105"/>
      <c r="B11" s="129" t="s">
        <v>224</v>
      </c>
      <c r="C11" s="130" t="s">
        <v>223</v>
      </c>
      <c r="D11" s="138">
        <v>27.763351092557514</v>
      </c>
      <c r="E11" s="139">
        <v>23.345060253480572</v>
      </c>
      <c r="F11" s="139">
        <v>27.722729970950063</v>
      </c>
      <c r="G11" s="139">
        <v>25.738910290170779</v>
      </c>
      <c r="H11" s="140">
        <v>17.595080534767007</v>
      </c>
      <c r="I11" s="139">
        <v>21.4039580204388</v>
      </c>
      <c r="J11" s="141">
        <v>22.91229636045589</v>
      </c>
      <c r="K11" s="141">
        <v>24.43052358375185</v>
      </c>
      <c r="L11" s="141">
        <v>23.720981592077791</v>
      </c>
      <c r="M11" s="140">
        <v>25.641580373458694</v>
      </c>
      <c r="N11" s="109"/>
      <c r="O11" s="135">
        <v>78.831141316988152</v>
      </c>
      <c r="P11" s="136">
        <v>43.333990824937786</v>
      </c>
      <c r="Q11" s="137">
        <v>122.16513214192594</v>
      </c>
      <c r="R11" s="110"/>
      <c r="S11" s="135">
        <v>118.10933993018303</v>
      </c>
      <c r="T11" s="137">
        <v>-3.3199261856738917E-2</v>
      </c>
    </row>
    <row r="12" spans="1:20" s="111" customFormat="1" ht="15.75" customHeight="1">
      <c r="A12" s="105"/>
      <c r="B12" s="129" t="s">
        <v>225</v>
      </c>
      <c r="C12" s="130" t="s">
        <v>223</v>
      </c>
      <c r="D12" s="142">
        <v>0.80881079794641764</v>
      </c>
      <c r="E12" s="143">
        <v>0.35493974651943105</v>
      </c>
      <c r="F12" s="143">
        <v>3.577270029049938</v>
      </c>
      <c r="G12" s="143">
        <v>4.7610897098292213</v>
      </c>
      <c r="H12" s="144">
        <v>2.7719999999999985</v>
      </c>
      <c r="I12" s="145">
        <v>3.5164419795612005</v>
      </c>
      <c r="J12" s="143">
        <v>3.9241772995258657</v>
      </c>
      <c r="K12" s="143">
        <v>4.1366267500553882</v>
      </c>
      <c r="L12" s="143">
        <v>4.0357582145197313</v>
      </c>
      <c r="M12" s="144">
        <v>4.3581602995268796</v>
      </c>
      <c r="N12" s="109"/>
      <c r="O12" s="135">
        <v>4.7410205735157867</v>
      </c>
      <c r="P12" s="136">
        <v>7.5330897098292198</v>
      </c>
      <c r="Q12" s="137">
        <v>12.274110283345006</v>
      </c>
      <c r="R12" s="110"/>
      <c r="S12" s="135">
        <v>19.971164543189065</v>
      </c>
      <c r="T12" s="137">
        <v>0.62709671676067236</v>
      </c>
    </row>
    <row r="13" spans="1:20" s="111" customFormat="1" ht="15.75" customHeight="1">
      <c r="A13" s="105"/>
      <c r="B13" s="129" t="s">
        <v>226</v>
      </c>
      <c r="C13" s="130" t="s">
        <v>223</v>
      </c>
      <c r="D13" s="138">
        <v>6.2920477913171</v>
      </c>
      <c r="E13" s="139">
        <v>6.4160000000000004</v>
      </c>
      <c r="F13" s="139">
        <v>6.4160000000000004</v>
      </c>
      <c r="G13" s="139">
        <v>8.0922981202560091</v>
      </c>
      <c r="H13" s="140">
        <v>8.126499979632225</v>
      </c>
      <c r="I13" s="139">
        <v>8.1134060112064628</v>
      </c>
      <c r="J13" s="141">
        <v>8.0884840842519772</v>
      </c>
      <c r="K13" s="141">
        <v>8.0779178501221196</v>
      </c>
      <c r="L13" s="141">
        <v>8.093669302825969</v>
      </c>
      <c r="M13" s="140">
        <v>8.103426115462808</v>
      </c>
      <c r="N13" s="109"/>
      <c r="O13" s="135">
        <v>19.1240477913171</v>
      </c>
      <c r="P13" s="136">
        <v>16.218798099888232</v>
      </c>
      <c r="Q13" s="137">
        <v>35.342845891205329</v>
      </c>
      <c r="R13" s="110"/>
      <c r="S13" s="135">
        <v>40.47690336386934</v>
      </c>
      <c r="T13" s="137">
        <v>0.14526440480961847</v>
      </c>
    </row>
    <row r="14" spans="1:20" s="111" customFormat="1" ht="15.75" customHeight="1" thickBot="1">
      <c r="A14" s="105"/>
      <c r="B14" s="146" t="s">
        <v>227</v>
      </c>
      <c r="C14" s="147" t="s">
        <v>223</v>
      </c>
      <c r="D14" s="148">
        <v>-5.4832369933706824</v>
      </c>
      <c r="E14" s="149">
        <v>-6.0610602534805693</v>
      </c>
      <c r="F14" s="149">
        <v>-2.8387299709500624</v>
      </c>
      <c r="G14" s="149">
        <v>-3.3312084104267878</v>
      </c>
      <c r="H14" s="150">
        <v>-5.3544999796322266</v>
      </c>
      <c r="I14" s="151">
        <v>-4.5969640316452622</v>
      </c>
      <c r="J14" s="149">
        <v>-4.1643067847261115</v>
      </c>
      <c r="K14" s="149">
        <v>-3.9412911000667314</v>
      </c>
      <c r="L14" s="149">
        <v>-4.0579110883062377</v>
      </c>
      <c r="M14" s="150">
        <v>-3.7452658159359284</v>
      </c>
      <c r="N14" s="109"/>
      <c r="O14" s="152">
        <v>-14.383027217801313</v>
      </c>
      <c r="P14" s="153">
        <v>-8.6857083900590144</v>
      </c>
      <c r="Q14" s="154">
        <v>-23.068735607860326</v>
      </c>
      <c r="R14" s="110"/>
      <c r="S14" s="152">
        <v>-20.505738820680271</v>
      </c>
      <c r="T14" s="154">
        <v>-0.11110261224315873</v>
      </c>
    </row>
    <row r="15" spans="1:20">
      <c r="A15" s="112"/>
      <c r="B15" s="112"/>
      <c r="C15" s="113"/>
      <c r="D15" s="155"/>
      <c r="E15" s="155"/>
      <c r="F15" s="155"/>
      <c r="G15" s="155"/>
      <c r="H15" s="155"/>
      <c r="I15" s="155"/>
      <c r="J15" s="155"/>
      <c r="K15" s="155"/>
      <c r="L15" s="155"/>
      <c r="M15" s="155"/>
      <c r="N15" s="155"/>
      <c r="O15" s="155"/>
      <c r="P15" s="155"/>
      <c r="Q15" s="155"/>
      <c r="R15" s="156"/>
      <c r="S15" s="155"/>
      <c r="T15" s="155"/>
    </row>
    <row r="16" spans="1:20" s="111" customFormat="1" ht="15.75" customHeight="1">
      <c r="A16" s="105"/>
      <c r="B16" s="106" t="s">
        <v>228</v>
      </c>
      <c r="C16" s="107"/>
      <c r="D16" s="108"/>
      <c r="E16" s="108"/>
      <c r="F16" s="108"/>
      <c r="G16" s="108"/>
      <c r="H16" s="108"/>
      <c r="I16" s="108"/>
      <c r="J16" s="108"/>
      <c r="K16" s="108"/>
      <c r="L16" s="108"/>
      <c r="M16" s="108"/>
      <c r="N16" s="108"/>
      <c r="O16" s="109"/>
      <c r="P16" s="109"/>
      <c r="Q16" s="109"/>
      <c r="R16" s="110"/>
      <c r="S16" s="108"/>
      <c r="T16" s="108"/>
    </row>
    <row r="17" spans="1:20" ht="13.5" thickBot="1">
      <c r="A17" s="112"/>
      <c r="B17" s="157"/>
      <c r="C17" s="113"/>
      <c r="D17" s="108"/>
      <c r="E17" s="108"/>
      <c r="F17" s="108"/>
      <c r="G17" s="108"/>
      <c r="H17" s="108"/>
      <c r="I17" s="108"/>
      <c r="J17" s="108"/>
      <c r="K17" s="108"/>
      <c r="L17" s="108"/>
      <c r="M17" s="108"/>
      <c r="N17" s="156"/>
      <c r="O17" s="156"/>
      <c r="P17" s="156"/>
      <c r="Q17" s="156"/>
      <c r="R17" s="156"/>
      <c r="S17" s="156"/>
      <c r="T17" s="156"/>
    </row>
    <row r="18" spans="1:20" ht="15.75" customHeight="1">
      <c r="A18" s="112"/>
      <c r="B18" s="1493" t="s">
        <v>228</v>
      </c>
      <c r="C18" s="1495" t="s">
        <v>210</v>
      </c>
      <c r="D18" s="158" t="s">
        <v>211</v>
      </c>
      <c r="E18" s="159"/>
      <c r="F18" s="159"/>
      <c r="G18" s="159"/>
      <c r="H18" s="160"/>
      <c r="I18" s="159" t="s">
        <v>212</v>
      </c>
      <c r="J18" s="161"/>
      <c r="K18" s="161"/>
      <c r="L18" s="161"/>
      <c r="M18" s="160"/>
      <c r="N18" s="156"/>
      <c r="O18" s="156"/>
      <c r="P18" s="156"/>
      <c r="Q18" s="156"/>
      <c r="R18" s="156"/>
      <c r="S18" s="156"/>
      <c r="T18" s="156"/>
    </row>
    <row r="19" spans="1:20" ht="26.25" customHeight="1">
      <c r="A19" s="112"/>
      <c r="B19" s="1494"/>
      <c r="C19" s="1496"/>
      <c r="D19" s="162" t="s">
        <v>99</v>
      </c>
      <c r="E19" s="163" t="s">
        <v>100</v>
      </c>
      <c r="F19" s="163" t="s">
        <v>101</v>
      </c>
      <c r="G19" s="163" t="s">
        <v>102</v>
      </c>
      <c r="H19" s="164" t="s">
        <v>64</v>
      </c>
      <c r="I19" s="165" t="s">
        <v>213</v>
      </c>
      <c r="J19" s="163" t="s">
        <v>214</v>
      </c>
      <c r="K19" s="163" t="s">
        <v>215</v>
      </c>
      <c r="L19" s="163" t="s">
        <v>216</v>
      </c>
      <c r="M19" s="164" t="s">
        <v>217</v>
      </c>
      <c r="N19" s="156"/>
      <c r="O19" s="156"/>
      <c r="P19" s="156"/>
      <c r="Q19" s="156"/>
      <c r="R19" s="156"/>
      <c r="S19" s="156"/>
      <c r="T19" s="156"/>
    </row>
    <row r="20" spans="1:20">
      <c r="A20" s="112"/>
      <c r="B20" s="166"/>
      <c r="C20" s="167"/>
      <c r="D20" s="168"/>
      <c r="E20" s="169"/>
      <c r="F20" s="169"/>
      <c r="G20" s="169"/>
      <c r="H20" s="170"/>
      <c r="I20" s="169"/>
      <c r="J20" s="169"/>
      <c r="K20" s="169"/>
      <c r="L20" s="169"/>
      <c r="M20" s="170"/>
      <c r="N20" s="156"/>
      <c r="O20" s="156"/>
      <c r="P20" s="156"/>
      <c r="Q20" s="156"/>
      <c r="R20" s="156"/>
      <c r="S20" s="156"/>
      <c r="T20" s="156"/>
    </row>
    <row r="21" spans="1:20" ht="15.75" customHeight="1">
      <c r="A21" s="112"/>
      <c r="B21" s="171" t="s">
        <v>229</v>
      </c>
      <c r="C21" s="172" t="s">
        <v>230</v>
      </c>
      <c r="D21" s="173">
        <v>3010</v>
      </c>
      <c r="E21" s="139">
        <v>2885</v>
      </c>
      <c r="F21" s="139">
        <v>2877</v>
      </c>
      <c r="G21" s="139">
        <v>2905.1094010726051</v>
      </c>
      <c r="H21" s="140">
        <v>2930.7065748141986</v>
      </c>
      <c r="I21" s="139">
        <v>2956.9079233252537</v>
      </c>
      <c r="J21" s="141">
        <v>2983.0094237733961</v>
      </c>
      <c r="K21" s="141">
        <v>3008.5088687593156</v>
      </c>
      <c r="L21" s="141">
        <v>3033.0351265616719</v>
      </c>
      <c r="M21" s="140">
        <v>3057.8903058078031</v>
      </c>
      <c r="N21" s="156"/>
      <c r="O21" s="156"/>
      <c r="P21" s="156"/>
      <c r="Q21" s="156"/>
      <c r="R21" s="156"/>
      <c r="S21" s="156"/>
      <c r="T21" s="156"/>
    </row>
    <row r="22" spans="1:20" ht="15.75" customHeight="1">
      <c r="A22" s="112"/>
      <c r="B22" s="171" t="s">
        <v>231</v>
      </c>
      <c r="C22" s="172" t="s">
        <v>230</v>
      </c>
      <c r="D22" s="138">
        <v>69.3</v>
      </c>
      <c r="E22" s="139">
        <v>-125.00000000000001</v>
      </c>
      <c r="F22" s="139">
        <v>-8</v>
      </c>
      <c r="G22" s="139">
        <v>28.109401072605124</v>
      </c>
      <c r="H22" s="140">
        <v>25.597173741593451</v>
      </c>
      <c r="I22" s="139">
        <v>26.20134851105513</v>
      </c>
      <c r="J22" s="141">
        <v>26.10150044814236</v>
      </c>
      <c r="K22" s="141">
        <v>25.499444985919581</v>
      </c>
      <c r="L22" s="141">
        <v>24.526257802356216</v>
      </c>
      <c r="M22" s="140">
        <v>24.855179246131229</v>
      </c>
      <c r="N22" s="156"/>
      <c r="O22" s="156"/>
      <c r="P22" s="156"/>
      <c r="Q22" s="156"/>
      <c r="R22" s="156"/>
      <c r="S22" s="156"/>
      <c r="T22" s="156"/>
    </row>
    <row r="23" spans="1:20" ht="15.75" customHeight="1">
      <c r="A23" s="112"/>
      <c r="B23" s="174" t="s">
        <v>232</v>
      </c>
      <c r="C23" s="172" t="s">
        <v>230</v>
      </c>
      <c r="D23" s="175">
        <v>30.7</v>
      </c>
      <c r="E23" s="176">
        <v>34.142315520000004</v>
      </c>
      <c r="F23" s="176">
        <v>33.816762560000001</v>
      </c>
      <c r="G23" s="176">
        <v>33.837111360000002</v>
      </c>
      <c r="H23" s="177">
        <v>41.562266815999998</v>
      </c>
      <c r="I23" s="176">
        <v>13.702266816</v>
      </c>
      <c r="J23" s="178">
        <v>33.3623801568</v>
      </c>
      <c r="K23" s="178">
        <v>33.530499164639998</v>
      </c>
      <c r="L23" s="178">
        <v>33.707024122871999</v>
      </c>
      <c r="M23" s="177">
        <v>33.744094364100718</v>
      </c>
      <c r="N23" s="156"/>
      <c r="O23" s="156"/>
      <c r="P23" s="156"/>
      <c r="Q23" s="156"/>
      <c r="R23" s="156"/>
      <c r="S23" s="156"/>
      <c r="T23" s="156"/>
    </row>
    <row r="24" spans="1:20" ht="15.75" customHeight="1">
      <c r="A24" s="112"/>
      <c r="B24" s="174" t="s">
        <v>233</v>
      </c>
      <c r="C24" s="172" t="s">
        <v>230</v>
      </c>
      <c r="D24" s="175">
        <v>-2.4</v>
      </c>
      <c r="E24" s="176">
        <v>-3.5311646917478221</v>
      </c>
      <c r="F24" s="176">
        <v>-1.7909574642747312</v>
      </c>
      <c r="G24" s="176">
        <v>-1.9690944000000004</v>
      </c>
      <c r="H24" s="177">
        <v>-1.1814566400000002</v>
      </c>
      <c r="I24" s="176">
        <v>-1.1814566400000002</v>
      </c>
      <c r="J24" s="178">
        <v>-1.240529472</v>
      </c>
      <c r="K24" s="178">
        <v>-1.3025559456</v>
      </c>
      <c r="L24" s="178">
        <v>-1.3676837428799999</v>
      </c>
      <c r="M24" s="177">
        <v>-1.3813605803088</v>
      </c>
      <c r="N24" s="156"/>
      <c r="O24" s="156"/>
      <c r="P24" s="156"/>
      <c r="Q24" s="156"/>
      <c r="R24" s="156"/>
      <c r="S24" s="156"/>
      <c r="T24" s="156"/>
    </row>
    <row r="25" spans="1:20" ht="15.75" customHeight="1">
      <c r="A25" s="112"/>
      <c r="B25" s="174" t="s">
        <v>234</v>
      </c>
      <c r="C25" s="172" t="s">
        <v>230</v>
      </c>
      <c r="D25" s="175">
        <v>41</v>
      </c>
      <c r="E25" s="176">
        <v>-155.61115082825219</v>
      </c>
      <c r="F25" s="176">
        <v>-40.025805095725268</v>
      </c>
      <c r="G25" s="176">
        <v>-3.7586158873948774</v>
      </c>
      <c r="H25" s="177">
        <v>-14.783636434406546</v>
      </c>
      <c r="I25" s="176">
        <v>13.680538335055131</v>
      </c>
      <c r="J25" s="178">
        <v>-6.0203502366576398</v>
      </c>
      <c r="K25" s="178">
        <v>-6.7284982331204173</v>
      </c>
      <c r="L25" s="178">
        <v>-7.8130825776357868</v>
      </c>
      <c r="M25" s="177">
        <v>-7.5075545376606891</v>
      </c>
      <c r="N25" s="156"/>
      <c r="O25" s="156"/>
      <c r="P25" s="156"/>
      <c r="Q25" s="156"/>
      <c r="R25" s="156"/>
      <c r="S25" s="156"/>
      <c r="T25" s="156"/>
    </row>
    <row r="26" spans="1:20" ht="15.75" customHeight="1">
      <c r="A26" s="112"/>
      <c r="B26" s="179"/>
      <c r="C26" s="180"/>
      <c r="D26" s="181"/>
      <c r="E26" s="182"/>
      <c r="F26" s="182"/>
      <c r="G26" s="182"/>
      <c r="H26" s="183"/>
      <c r="I26" s="182"/>
      <c r="J26" s="182"/>
      <c r="K26" s="182"/>
      <c r="L26" s="182"/>
      <c r="M26" s="183"/>
      <c r="N26" s="156"/>
      <c r="O26" s="156"/>
      <c r="P26" s="156"/>
      <c r="Q26" s="156"/>
      <c r="R26" s="156"/>
      <c r="S26" s="156"/>
      <c r="T26" s="156"/>
    </row>
    <row r="27" spans="1:20" ht="15.75" customHeight="1">
      <c r="A27" s="112"/>
      <c r="B27" s="171" t="s">
        <v>235</v>
      </c>
      <c r="C27" s="172" t="s">
        <v>236</v>
      </c>
      <c r="D27" s="173">
        <v>17507</v>
      </c>
      <c r="E27" s="139">
        <v>16982.007575</v>
      </c>
      <c r="F27" s="139">
        <v>16932.380999999998</v>
      </c>
      <c r="G27" s="139">
        <v>16302.725807000001</v>
      </c>
      <c r="H27" s="140">
        <v>15537.288210670064</v>
      </c>
      <c r="I27" s="139">
        <v>15691.534947999999</v>
      </c>
      <c r="J27" s="141">
        <v>15856.451647000002</v>
      </c>
      <c r="K27" s="141">
        <v>15974.306857</v>
      </c>
      <c r="L27" s="141">
        <v>16118.032813999998</v>
      </c>
      <c r="M27" s="140">
        <v>16263.196028</v>
      </c>
      <c r="N27" s="156"/>
      <c r="O27" s="156"/>
      <c r="P27" s="156"/>
      <c r="Q27" s="156"/>
      <c r="R27" s="156"/>
      <c r="S27" s="156"/>
      <c r="T27" s="156"/>
    </row>
    <row r="28" spans="1:20" ht="15.75" customHeight="1">
      <c r="A28" s="112"/>
      <c r="B28" s="184" t="s">
        <v>237</v>
      </c>
      <c r="C28" s="172" t="s">
        <v>236</v>
      </c>
      <c r="D28" s="138">
        <v>290.99999999999977</v>
      </c>
      <c r="E28" s="139">
        <v>-524.99242500000014</v>
      </c>
      <c r="F28" s="139">
        <v>-49.626575000001907</v>
      </c>
      <c r="G28" s="139">
        <v>-629.65519299999653</v>
      </c>
      <c r="H28" s="140">
        <v>-765.43759632993738</v>
      </c>
      <c r="I28" s="139">
        <v>154.24673732993472</v>
      </c>
      <c r="J28" s="141">
        <v>164.91669900000346</v>
      </c>
      <c r="K28" s="141">
        <v>117.85520999999784</v>
      </c>
      <c r="L28" s="141">
        <v>143.72595699999826</v>
      </c>
      <c r="M28" s="140">
        <v>145.16321400000123</v>
      </c>
      <c r="N28" s="156"/>
      <c r="O28" s="156"/>
      <c r="P28" s="156"/>
      <c r="Q28" s="156"/>
      <c r="R28" s="156"/>
      <c r="S28" s="156"/>
      <c r="T28" s="156"/>
    </row>
    <row r="29" spans="1:20" ht="15.75" customHeight="1">
      <c r="A29" s="112"/>
      <c r="B29" s="185" t="s">
        <v>238</v>
      </c>
      <c r="C29" s="172" t="s">
        <v>236</v>
      </c>
      <c r="D29" s="175">
        <v>4128.1409755499999</v>
      </c>
      <c r="E29" s="176">
        <v>3719.0077123645997</v>
      </c>
      <c r="F29" s="176">
        <v>3715.3088505749984</v>
      </c>
      <c r="G29" s="176">
        <v>4302.6205291001688</v>
      </c>
      <c r="H29" s="177">
        <v>4448.9768713170242</v>
      </c>
      <c r="I29" s="176">
        <v>6268.4533936278194</v>
      </c>
      <c r="J29" s="178">
        <v>7178.9970658780367</v>
      </c>
      <c r="K29" s="178">
        <v>8031.6143428760843</v>
      </c>
      <c r="L29" s="178">
        <v>8957.2464771191899</v>
      </c>
      <c r="M29" s="177">
        <v>9758.4343151537942</v>
      </c>
      <c r="N29" s="156"/>
      <c r="O29" s="156"/>
      <c r="P29" s="156"/>
      <c r="Q29" s="156"/>
      <c r="R29" s="156"/>
      <c r="S29" s="156"/>
      <c r="T29" s="156"/>
    </row>
    <row r="30" spans="1:20" ht="15.75" customHeight="1">
      <c r="A30" s="112"/>
      <c r="B30" s="185" t="s">
        <v>239</v>
      </c>
      <c r="C30" s="172" t="s">
        <v>236</v>
      </c>
      <c r="D30" s="175">
        <v>-3500</v>
      </c>
      <c r="E30" s="176">
        <v>-3500</v>
      </c>
      <c r="F30" s="176">
        <v>-3500</v>
      </c>
      <c r="G30" s="176">
        <v>-4300</v>
      </c>
      <c r="H30" s="177">
        <v>-5200</v>
      </c>
      <c r="I30" s="176">
        <v>-6100</v>
      </c>
      <c r="J30" s="178">
        <v>-7000</v>
      </c>
      <c r="K30" s="178">
        <v>-7900</v>
      </c>
      <c r="L30" s="178">
        <v>-8800</v>
      </c>
      <c r="M30" s="177">
        <v>-9600</v>
      </c>
      <c r="N30" s="156"/>
      <c r="O30" s="156"/>
      <c r="P30" s="156"/>
      <c r="Q30" s="156"/>
      <c r="R30" s="156"/>
      <c r="S30" s="156"/>
      <c r="T30" s="156"/>
    </row>
    <row r="31" spans="1:20" ht="15.75" customHeight="1">
      <c r="A31" s="112"/>
      <c r="B31" s="185" t="s">
        <v>240</v>
      </c>
      <c r="C31" s="172" t="s">
        <v>236</v>
      </c>
      <c r="D31" s="175">
        <v>-47.563775550000003</v>
      </c>
      <c r="E31" s="176">
        <v>-45.006738974999998</v>
      </c>
      <c r="F31" s="176">
        <v>-41.936013975000002</v>
      </c>
      <c r="G31" s="176">
        <v>-39.347392800000002</v>
      </c>
      <c r="H31" s="177">
        <v>-40.134340655999999</v>
      </c>
      <c r="I31" s="176">
        <v>-40.937027469119997</v>
      </c>
      <c r="J31" s="178">
        <v>-41.755768018502401</v>
      </c>
      <c r="K31" s="178">
        <v>-42.590883378872398</v>
      </c>
      <c r="L31" s="178">
        <v>-43.442701046449898</v>
      </c>
      <c r="M31" s="177">
        <v>-44.311555067378897</v>
      </c>
      <c r="N31" s="156"/>
      <c r="O31" s="156"/>
      <c r="P31" s="156"/>
      <c r="Q31" s="156"/>
      <c r="R31" s="156"/>
      <c r="S31" s="156"/>
      <c r="T31" s="156"/>
    </row>
    <row r="32" spans="1:20" ht="15.75" customHeight="1">
      <c r="A32" s="112"/>
      <c r="B32" s="185" t="s">
        <v>241</v>
      </c>
      <c r="C32" s="172" t="s">
        <v>236</v>
      </c>
      <c r="D32" s="175">
        <v>0</v>
      </c>
      <c r="E32" s="176">
        <v>0</v>
      </c>
      <c r="F32" s="176">
        <v>0</v>
      </c>
      <c r="G32" s="176">
        <v>0</v>
      </c>
      <c r="H32" s="177">
        <v>0</v>
      </c>
      <c r="I32" s="176">
        <v>0</v>
      </c>
      <c r="J32" s="178">
        <v>0</v>
      </c>
      <c r="K32" s="178">
        <v>0</v>
      </c>
      <c r="L32" s="178">
        <v>0</v>
      </c>
      <c r="M32" s="177">
        <v>0</v>
      </c>
      <c r="N32" s="156"/>
      <c r="O32" s="156"/>
      <c r="P32" s="156"/>
      <c r="Q32" s="156"/>
      <c r="R32" s="156"/>
      <c r="S32" s="156"/>
      <c r="T32" s="156"/>
    </row>
    <row r="33" spans="1:20" ht="15.75" customHeight="1">
      <c r="A33" s="112"/>
      <c r="B33" s="185" t="s">
        <v>242</v>
      </c>
      <c r="C33" s="172" t="s">
        <v>236</v>
      </c>
      <c r="D33" s="175">
        <v>-289.57720000000018</v>
      </c>
      <c r="E33" s="176">
        <v>-698.99339838959986</v>
      </c>
      <c r="F33" s="176">
        <v>-222.99941160000026</v>
      </c>
      <c r="G33" s="176">
        <v>-622.32231762820527</v>
      </c>
      <c r="H33" s="177">
        <v>0</v>
      </c>
      <c r="I33" s="176">
        <v>0</v>
      </c>
      <c r="J33" s="178">
        <v>0</v>
      </c>
      <c r="K33" s="178">
        <v>0</v>
      </c>
      <c r="L33" s="178">
        <v>0</v>
      </c>
      <c r="M33" s="177">
        <v>0</v>
      </c>
      <c r="N33" s="156"/>
      <c r="O33" s="156"/>
      <c r="P33" s="156"/>
      <c r="Q33" s="156"/>
      <c r="R33" s="156"/>
      <c r="S33" s="156"/>
      <c r="T33" s="156"/>
    </row>
    <row r="34" spans="1:20" ht="15.75" customHeight="1">
      <c r="A34" s="112"/>
      <c r="B34" s="185" t="s">
        <v>243</v>
      </c>
      <c r="C34" s="172" t="s">
        <v>236</v>
      </c>
      <c r="D34" s="175">
        <v>0</v>
      </c>
      <c r="E34" s="176">
        <v>0</v>
      </c>
      <c r="F34" s="176">
        <v>0</v>
      </c>
      <c r="G34" s="176">
        <v>29.393988328039914</v>
      </c>
      <c r="H34" s="177">
        <v>25.719873009038281</v>
      </c>
      <c r="I34" s="176">
        <v>26.73037117123528</v>
      </c>
      <c r="J34" s="178">
        <v>27.675401140469212</v>
      </c>
      <c r="K34" s="178">
        <v>28.831750502785987</v>
      </c>
      <c r="L34" s="178">
        <v>29.922180927258275</v>
      </c>
      <c r="M34" s="177">
        <v>31.04045391358596</v>
      </c>
      <c r="N34" s="156"/>
      <c r="O34" s="156"/>
      <c r="P34" s="156"/>
      <c r="Q34" s="156"/>
      <c r="R34" s="156"/>
      <c r="S34" s="156"/>
      <c r="T34" s="156"/>
    </row>
    <row r="35" spans="1:20" ht="15.75" customHeight="1">
      <c r="A35" s="112"/>
      <c r="B35" s="179"/>
      <c r="C35" s="180"/>
      <c r="D35" s="186"/>
      <c r="E35" s="187"/>
      <c r="F35" s="187"/>
      <c r="G35" s="187"/>
      <c r="H35" s="188"/>
      <c r="I35" s="187"/>
      <c r="J35" s="187"/>
      <c r="K35" s="187"/>
      <c r="L35" s="187"/>
      <c r="M35" s="188"/>
      <c r="N35" s="156"/>
      <c r="O35" s="156"/>
      <c r="P35" s="156"/>
      <c r="Q35" s="156"/>
      <c r="R35" s="156"/>
      <c r="S35" s="156"/>
      <c r="T35" s="156"/>
    </row>
    <row r="36" spans="1:20" ht="15.75" customHeight="1">
      <c r="A36" s="112"/>
      <c r="B36" s="171" t="s">
        <v>235</v>
      </c>
      <c r="C36" s="172"/>
      <c r="D36" s="189"/>
      <c r="E36" s="190"/>
      <c r="F36" s="190"/>
      <c r="G36" s="190"/>
      <c r="H36" s="191"/>
      <c r="I36" s="190"/>
      <c r="J36" s="190"/>
      <c r="K36" s="190"/>
      <c r="L36" s="190"/>
      <c r="M36" s="191"/>
      <c r="N36" s="156"/>
      <c r="O36" s="156"/>
      <c r="P36" s="156"/>
      <c r="Q36" s="156"/>
      <c r="R36" s="156"/>
      <c r="S36" s="156"/>
      <c r="T36" s="156"/>
    </row>
    <row r="37" spans="1:20" ht="15.75" customHeight="1">
      <c r="A37" s="112"/>
      <c r="B37" s="174" t="s">
        <v>244</v>
      </c>
      <c r="C37" s="172" t="s">
        <v>236</v>
      </c>
      <c r="D37" s="175">
        <v>11676.5</v>
      </c>
      <c r="E37" s="176">
        <v>11421.460757999999</v>
      </c>
      <c r="F37" s="176">
        <v>11377.520999999999</v>
      </c>
      <c r="G37" s="176">
        <v>11301.256030999999</v>
      </c>
      <c r="H37" s="177">
        <v>11080.579133670062</v>
      </c>
      <c r="I37" s="176">
        <v>11206.883668999999</v>
      </c>
      <c r="J37" s="178">
        <v>11337.068028</v>
      </c>
      <c r="K37" s="178">
        <v>11431.815313999999</v>
      </c>
      <c r="L37" s="178">
        <v>11546.133474999999</v>
      </c>
      <c r="M37" s="177">
        <v>11661.594814</v>
      </c>
      <c r="N37" s="156"/>
      <c r="O37" s="156"/>
      <c r="P37" s="156"/>
      <c r="Q37" s="156"/>
      <c r="R37" s="156"/>
      <c r="S37" s="156"/>
      <c r="T37" s="156"/>
    </row>
    <row r="38" spans="1:20" ht="15.75" customHeight="1">
      <c r="A38" s="112"/>
      <c r="B38" s="174" t="s">
        <v>245</v>
      </c>
      <c r="C38" s="172" t="s">
        <v>236</v>
      </c>
      <c r="D38" s="175">
        <v>3540.5</v>
      </c>
      <c r="E38" s="176">
        <v>3318.6088340000001</v>
      </c>
      <c r="F38" s="176">
        <v>3311.47</v>
      </c>
      <c r="G38" s="176">
        <v>3130.7298700000001</v>
      </c>
      <c r="H38" s="177">
        <v>2854.3913900000002</v>
      </c>
      <c r="I38" s="176">
        <v>2882.9044949999998</v>
      </c>
      <c r="J38" s="178">
        <v>2915.6672310000004</v>
      </c>
      <c r="K38" s="178">
        <v>2940.7799289999998</v>
      </c>
      <c r="L38" s="178">
        <v>2970.1877250000002</v>
      </c>
      <c r="M38" s="177">
        <v>2999.8896000000004</v>
      </c>
      <c r="N38" s="156"/>
      <c r="O38" s="156"/>
      <c r="P38" s="156"/>
      <c r="Q38" s="156"/>
      <c r="R38" s="156"/>
      <c r="S38" s="156"/>
      <c r="T38" s="156"/>
    </row>
    <row r="39" spans="1:20" ht="15.75" customHeight="1">
      <c r="A39" s="112"/>
      <c r="B39" s="174" t="s">
        <v>246</v>
      </c>
      <c r="C39" s="172" t="s">
        <v>236</v>
      </c>
      <c r="D39" s="175">
        <v>2290</v>
      </c>
      <c r="E39" s="176">
        <v>2241.9379829999998</v>
      </c>
      <c r="F39" s="176">
        <v>2243.39</v>
      </c>
      <c r="G39" s="176">
        <v>1870.739906</v>
      </c>
      <c r="H39" s="177">
        <v>1602.317687</v>
      </c>
      <c r="I39" s="176">
        <v>1601.7467840000002</v>
      </c>
      <c r="J39" s="178">
        <v>1603.7163880000001</v>
      </c>
      <c r="K39" s="178">
        <v>1601.7116140000001</v>
      </c>
      <c r="L39" s="178">
        <v>1601.7116140000001</v>
      </c>
      <c r="M39" s="177">
        <v>1601.7116140000001</v>
      </c>
      <c r="N39" s="156"/>
      <c r="O39" s="156"/>
      <c r="P39" s="156"/>
      <c r="Q39" s="156"/>
      <c r="R39" s="156"/>
      <c r="S39" s="156"/>
      <c r="T39" s="156"/>
    </row>
    <row r="40" spans="1:20" ht="15.75" customHeight="1">
      <c r="A40" s="112"/>
      <c r="B40" s="171" t="s">
        <v>247</v>
      </c>
      <c r="C40" s="172" t="s">
        <v>236</v>
      </c>
      <c r="D40" s="142">
        <v>17507</v>
      </c>
      <c r="E40" s="145">
        <v>16982.007575</v>
      </c>
      <c r="F40" s="145">
        <v>16932.380999999998</v>
      </c>
      <c r="G40" s="145">
        <v>16302.725807000001</v>
      </c>
      <c r="H40" s="144">
        <v>15537.288210670064</v>
      </c>
      <c r="I40" s="145">
        <v>15691.534947999999</v>
      </c>
      <c r="J40" s="143">
        <v>15856.451647000002</v>
      </c>
      <c r="K40" s="143">
        <v>15974.306857</v>
      </c>
      <c r="L40" s="143">
        <v>16118.032813999998</v>
      </c>
      <c r="M40" s="144">
        <v>16263.196028</v>
      </c>
      <c r="N40" s="156"/>
      <c r="O40" s="156"/>
      <c r="P40" s="156"/>
      <c r="Q40" s="156"/>
      <c r="R40" s="156"/>
      <c r="S40" s="156"/>
      <c r="T40" s="156"/>
    </row>
    <row r="41" spans="1:20" ht="15.75" customHeight="1">
      <c r="A41" s="112"/>
      <c r="B41" s="184"/>
      <c r="C41" s="172"/>
      <c r="D41" s="181"/>
      <c r="E41" s="182"/>
      <c r="F41" s="182"/>
      <c r="G41" s="182"/>
      <c r="H41" s="183"/>
      <c r="I41" s="182"/>
      <c r="J41" s="182"/>
      <c r="K41" s="182"/>
      <c r="L41" s="182"/>
      <c r="M41" s="183"/>
      <c r="N41" s="156"/>
      <c r="O41" s="156"/>
      <c r="P41" s="156"/>
      <c r="Q41" s="156"/>
      <c r="R41" s="156"/>
      <c r="S41" s="156"/>
      <c r="T41" s="156"/>
    </row>
    <row r="42" spans="1:20" ht="15.75" customHeight="1">
      <c r="A42" s="112"/>
      <c r="B42" s="184" t="s">
        <v>248</v>
      </c>
      <c r="C42" s="172"/>
      <c r="D42" s="189"/>
      <c r="E42" s="190"/>
      <c r="F42" s="190"/>
      <c r="G42" s="190"/>
      <c r="H42" s="191"/>
      <c r="I42" s="190"/>
      <c r="J42" s="190"/>
      <c r="K42" s="190"/>
      <c r="L42" s="190"/>
      <c r="M42" s="191"/>
      <c r="N42" s="156"/>
      <c r="O42" s="156"/>
      <c r="P42" s="156"/>
      <c r="Q42" s="156"/>
      <c r="R42" s="156"/>
      <c r="S42" s="156"/>
      <c r="T42" s="156"/>
    </row>
    <row r="43" spans="1:20" ht="15.75" customHeight="1">
      <c r="A43" s="112"/>
      <c r="B43" s="174" t="s">
        <v>244</v>
      </c>
      <c r="C43" s="172" t="s">
        <v>249</v>
      </c>
      <c r="D43" s="175">
        <v>64711.220280781999</v>
      </c>
      <c r="E43" s="176">
        <v>66465.935501335203</v>
      </c>
      <c r="F43" s="176">
        <v>63103.318089185806</v>
      </c>
      <c r="G43" s="176">
        <v>46407.081464057715</v>
      </c>
      <c r="H43" s="177">
        <v>55975.256557396926</v>
      </c>
      <c r="I43" s="176">
        <v>56598.66098652863</v>
      </c>
      <c r="J43" s="178">
        <v>57320.211660449975</v>
      </c>
      <c r="K43" s="178">
        <v>57863.774554151591</v>
      </c>
      <c r="L43" s="178">
        <v>58507.254630818061</v>
      </c>
      <c r="M43" s="177">
        <v>59157.570355651907</v>
      </c>
      <c r="N43" s="156"/>
      <c r="O43" s="156"/>
      <c r="P43" s="156"/>
      <c r="Q43" s="156"/>
      <c r="R43" s="156"/>
      <c r="S43" s="156"/>
      <c r="T43" s="156"/>
    </row>
    <row r="44" spans="1:20" ht="15.75" customHeight="1">
      <c r="A44" s="112"/>
      <c r="B44" s="174" t="s">
        <v>245</v>
      </c>
      <c r="C44" s="172" t="s">
        <v>249</v>
      </c>
      <c r="D44" s="175">
        <v>-18473.874615909343</v>
      </c>
      <c r="E44" s="176">
        <v>-53042.214073926079</v>
      </c>
      <c r="F44" s="176">
        <v>13215.347170304709</v>
      </c>
      <c r="G44" s="176">
        <v>4292.1944887211921</v>
      </c>
      <c r="H44" s="177">
        <v>0</v>
      </c>
      <c r="I44" s="176">
        <v>0</v>
      </c>
      <c r="J44" s="178">
        <v>0</v>
      </c>
      <c r="K44" s="178">
        <v>0</v>
      </c>
      <c r="L44" s="178">
        <v>0</v>
      </c>
      <c r="M44" s="177">
        <v>0</v>
      </c>
      <c r="N44" s="156"/>
      <c r="O44" s="156"/>
      <c r="P44" s="156"/>
      <c r="Q44" s="156"/>
      <c r="R44" s="156"/>
      <c r="S44" s="156"/>
      <c r="T44" s="156"/>
    </row>
    <row r="45" spans="1:20" ht="15.75" customHeight="1">
      <c r="A45" s="112"/>
      <c r="B45" s="174" t="s">
        <v>246</v>
      </c>
      <c r="C45" s="172" t="s">
        <v>249</v>
      </c>
      <c r="D45" s="175">
        <v>-67920.108475247529</v>
      </c>
      <c r="E45" s="176">
        <v>0</v>
      </c>
      <c r="F45" s="176">
        <v>67303.229550000004</v>
      </c>
      <c r="G45" s="176">
        <v>0</v>
      </c>
      <c r="H45" s="177">
        <v>0</v>
      </c>
      <c r="I45" s="176">
        <v>0</v>
      </c>
      <c r="J45" s="178">
        <v>0</v>
      </c>
      <c r="K45" s="178">
        <v>0</v>
      </c>
      <c r="L45" s="178">
        <v>0</v>
      </c>
      <c r="M45" s="177">
        <v>0</v>
      </c>
      <c r="N45" s="156"/>
      <c r="O45" s="156"/>
      <c r="P45" s="156"/>
      <c r="Q45" s="156"/>
      <c r="R45" s="156"/>
      <c r="S45" s="156"/>
      <c r="T45" s="156"/>
    </row>
    <row r="46" spans="1:20" ht="15.75" customHeight="1" thickBot="1">
      <c r="A46" s="112"/>
      <c r="B46" s="192" t="s">
        <v>250</v>
      </c>
      <c r="C46" s="193" t="s">
        <v>249</v>
      </c>
      <c r="D46" s="148">
        <v>-21682.762810374872</v>
      </c>
      <c r="E46" s="151">
        <v>13423.721427409124</v>
      </c>
      <c r="F46" s="151">
        <v>143621.89480949054</v>
      </c>
      <c r="G46" s="151">
        <v>50699.275952778909</v>
      </c>
      <c r="H46" s="150">
        <v>55975.256557396926</v>
      </c>
      <c r="I46" s="151">
        <v>56598.66098652863</v>
      </c>
      <c r="J46" s="149">
        <v>57320.211660449975</v>
      </c>
      <c r="K46" s="149">
        <v>57863.774554151591</v>
      </c>
      <c r="L46" s="149">
        <v>58507.254630818061</v>
      </c>
      <c r="M46" s="150">
        <v>59157.570355651907</v>
      </c>
      <c r="N46" s="194"/>
      <c r="O46" s="156"/>
      <c r="P46" s="156"/>
      <c r="Q46" s="156"/>
      <c r="R46" s="156"/>
      <c r="S46" s="156"/>
      <c r="T46" s="156"/>
    </row>
    <row r="47" spans="1:20">
      <c r="A47" s="114"/>
      <c r="B47" s="114"/>
      <c r="C47" s="114"/>
      <c r="D47" s="156"/>
      <c r="E47" s="156"/>
      <c r="F47" s="156"/>
      <c r="G47" s="156"/>
      <c r="H47" s="156"/>
      <c r="I47" s="156"/>
      <c r="J47" s="156"/>
      <c r="K47" s="156"/>
      <c r="L47" s="156"/>
      <c r="M47" s="156"/>
      <c r="N47" s="156"/>
      <c r="O47" s="156"/>
      <c r="P47" s="156"/>
      <c r="Q47" s="156"/>
      <c r="R47" s="156"/>
      <c r="S47" s="156"/>
      <c r="T47" s="156"/>
    </row>
    <row r="48" spans="1:20">
      <c r="A48" s="112"/>
      <c r="B48" s="112"/>
      <c r="C48" s="113"/>
      <c r="D48" s="108"/>
      <c r="E48" s="108"/>
      <c r="F48" s="108"/>
      <c r="G48" s="108"/>
      <c r="H48" s="108"/>
      <c r="I48" s="108"/>
      <c r="J48" s="108"/>
      <c r="K48" s="108"/>
      <c r="L48" s="108"/>
      <c r="M48" s="108"/>
      <c r="N48" s="156"/>
      <c r="O48" s="156"/>
      <c r="P48" s="156"/>
      <c r="Q48" s="156"/>
      <c r="R48" s="156"/>
      <c r="S48" s="156"/>
      <c r="T48" s="156"/>
    </row>
    <row r="49" spans="1:20" s="111" customFormat="1" ht="15.75" customHeight="1">
      <c r="A49" s="105"/>
      <c r="B49" s="106" t="s">
        <v>251</v>
      </c>
      <c r="C49" s="107"/>
      <c r="D49" s="108"/>
      <c r="E49" s="108"/>
      <c r="F49" s="108"/>
      <c r="G49" s="108"/>
      <c r="H49" s="108"/>
      <c r="I49" s="108"/>
      <c r="J49" s="108"/>
      <c r="K49" s="108"/>
      <c r="L49" s="108"/>
      <c r="M49" s="108"/>
      <c r="N49" s="108"/>
      <c r="O49" s="109"/>
      <c r="P49" s="109"/>
      <c r="Q49" s="109"/>
      <c r="R49" s="110"/>
      <c r="S49" s="108"/>
      <c r="T49" s="108"/>
    </row>
    <row r="50" spans="1:20" ht="13.5" thickBot="1">
      <c r="A50" s="112"/>
      <c r="B50" s="157"/>
      <c r="C50" s="113"/>
      <c r="D50" s="108"/>
      <c r="E50" s="108"/>
      <c r="F50" s="108"/>
      <c r="G50" s="108"/>
      <c r="H50" s="108"/>
      <c r="I50" s="108"/>
      <c r="J50" s="108"/>
      <c r="K50" s="108"/>
      <c r="L50" s="108"/>
      <c r="M50" s="108"/>
      <c r="N50" s="156"/>
      <c r="O50" s="156"/>
      <c r="P50" s="156"/>
      <c r="Q50" s="156"/>
      <c r="R50" s="156"/>
      <c r="S50" s="156"/>
      <c r="T50" s="156"/>
    </row>
    <row r="51" spans="1:20" ht="15.75" customHeight="1">
      <c r="A51" s="112"/>
      <c r="B51" s="1493" t="s">
        <v>251</v>
      </c>
      <c r="C51" s="1495" t="s">
        <v>210</v>
      </c>
      <c r="D51" s="158" t="s">
        <v>211</v>
      </c>
      <c r="E51" s="159"/>
      <c r="F51" s="159"/>
      <c r="G51" s="159"/>
      <c r="H51" s="160"/>
      <c r="I51" s="159" t="s">
        <v>212</v>
      </c>
      <c r="J51" s="161"/>
      <c r="K51" s="161"/>
      <c r="L51" s="161"/>
      <c r="M51" s="160"/>
      <c r="N51" s="156"/>
      <c r="O51" s="156"/>
      <c r="P51" s="156"/>
      <c r="Q51" s="156"/>
      <c r="R51" s="156"/>
      <c r="S51" s="156"/>
      <c r="T51" s="156"/>
    </row>
    <row r="52" spans="1:20" ht="26.25" customHeight="1">
      <c r="A52" s="112"/>
      <c r="B52" s="1494"/>
      <c r="C52" s="1496"/>
      <c r="D52" s="162" t="s">
        <v>99</v>
      </c>
      <c r="E52" s="163" t="s">
        <v>100</v>
      </c>
      <c r="F52" s="163" t="s">
        <v>101</v>
      </c>
      <c r="G52" s="163" t="s">
        <v>102</v>
      </c>
      <c r="H52" s="164" t="s">
        <v>64</v>
      </c>
      <c r="I52" s="165" t="s">
        <v>213</v>
      </c>
      <c r="J52" s="163" t="s">
        <v>214</v>
      </c>
      <c r="K52" s="163" t="s">
        <v>215</v>
      </c>
      <c r="L52" s="163" t="s">
        <v>216</v>
      </c>
      <c r="M52" s="164" t="s">
        <v>217</v>
      </c>
      <c r="N52" s="156"/>
      <c r="O52" s="156"/>
      <c r="P52" s="156"/>
      <c r="Q52" s="156"/>
      <c r="R52" s="156"/>
      <c r="S52" s="156"/>
      <c r="T52" s="156"/>
    </row>
    <row r="53" spans="1:20" ht="15.75" customHeight="1">
      <c r="A53" s="112"/>
      <c r="B53" s="195" t="s">
        <v>252</v>
      </c>
      <c r="C53" s="196"/>
      <c r="D53" s="197"/>
      <c r="E53" s="198"/>
      <c r="F53" s="198"/>
      <c r="G53" s="198"/>
      <c r="H53" s="199"/>
      <c r="I53" s="182"/>
      <c r="J53" s="182"/>
      <c r="K53" s="182"/>
      <c r="L53" s="182"/>
      <c r="M53" s="183"/>
      <c r="N53" s="200"/>
      <c r="O53" s="156"/>
      <c r="P53" s="156"/>
      <c r="Q53" s="156"/>
      <c r="R53" s="156"/>
      <c r="S53" s="156"/>
      <c r="T53" s="156"/>
    </row>
    <row r="54" spans="1:20" ht="15.75" customHeight="1">
      <c r="A54" s="112"/>
      <c r="B54" s="179" t="s">
        <v>253</v>
      </c>
      <c r="C54" s="201"/>
      <c r="D54" s="202"/>
      <c r="E54" s="203"/>
      <c r="F54" s="203"/>
      <c r="G54" s="203"/>
      <c r="H54" s="204"/>
      <c r="I54" s="187"/>
      <c r="J54" s="187"/>
      <c r="K54" s="187"/>
      <c r="L54" s="187"/>
      <c r="M54" s="188"/>
      <c r="N54" s="200"/>
      <c r="O54" s="156"/>
      <c r="P54" s="156"/>
      <c r="Q54" s="156"/>
      <c r="R54" s="156"/>
      <c r="S54" s="156"/>
      <c r="T54" s="156"/>
    </row>
    <row r="55" spans="1:20" ht="15.75" customHeight="1">
      <c r="A55" s="112"/>
      <c r="B55" s="205" t="s">
        <v>254</v>
      </c>
      <c r="C55" s="201" t="s">
        <v>255</v>
      </c>
      <c r="D55" s="175">
        <v>2</v>
      </c>
      <c r="E55" s="176">
        <v>1</v>
      </c>
      <c r="F55" s="176">
        <v>5</v>
      </c>
      <c r="G55" s="176">
        <v>0</v>
      </c>
      <c r="H55" s="177">
        <v>2</v>
      </c>
      <c r="I55" s="176">
        <v>4</v>
      </c>
      <c r="J55" s="178">
        <v>6</v>
      </c>
      <c r="K55" s="178">
        <v>8</v>
      </c>
      <c r="L55" s="178">
        <v>10</v>
      </c>
      <c r="M55" s="177">
        <v>12</v>
      </c>
      <c r="N55" s="156"/>
      <c r="O55" s="156"/>
      <c r="P55" s="156"/>
      <c r="Q55" s="156"/>
      <c r="R55" s="156"/>
      <c r="S55" s="156"/>
      <c r="T55" s="156"/>
    </row>
    <row r="56" spans="1:20" ht="15.75" customHeight="1">
      <c r="A56" s="112"/>
      <c r="B56" s="205" t="s">
        <v>256</v>
      </c>
      <c r="C56" s="201" t="s">
        <v>255</v>
      </c>
      <c r="D56" s="175">
        <v>15368</v>
      </c>
      <c r="E56" s="176">
        <v>16129</v>
      </c>
      <c r="F56" s="176">
        <v>14799</v>
      </c>
      <c r="G56" s="176">
        <v>11116</v>
      </c>
      <c r="H56" s="177">
        <v>8879.4</v>
      </c>
      <c r="I56" s="176">
        <v>10478</v>
      </c>
      <c r="J56" s="178">
        <v>12049</v>
      </c>
      <c r="K56" s="178">
        <v>12652</v>
      </c>
      <c r="L56" s="178">
        <v>13284</v>
      </c>
      <c r="M56" s="177">
        <v>13949</v>
      </c>
      <c r="N56" s="156"/>
      <c r="O56" s="156"/>
      <c r="P56" s="156"/>
      <c r="Q56" s="156"/>
      <c r="R56" s="156"/>
      <c r="S56" s="156"/>
      <c r="T56" s="156"/>
    </row>
    <row r="57" spans="1:20" ht="15.75" customHeight="1">
      <c r="A57" s="112"/>
      <c r="B57" s="205" t="s">
        <v>257</v>
      </c>
      <c r="C57" s="201" t="s">
        <v>255</v>
      </c>
      <c r="D57" s="175">
        <v>5318</v>
      </c>
      <c r="E57" s="176">
        <v>3549</v>
      </c>
      <c r="F57" s="176">
        <v>3902</v>
      </c>
      <c r="G57" s="176">
        <v>2731</v>
      </c>
      <c r="H57" s="177">
        <v>2341</v>
      </c>
      <c r="I57" s="176">
        <v>2763</v>
      </c>
      <c r="J57" s="178">
        <v>3260</v>
      </c>
      <c r="K57" s="178">
        <v>3847</v>
      </c>
      <c r="L57" s="178">
        <v>4424</v>
      </c>
      <c r="M57" s="177">
        <v>5087</v>
      </c>
      <c r="N57" s="156"/>
      <c r="O57" s="156"/>
      <c r="P57" s="156"/>
      <c r="Q57" s="156"/>
      <c r="R57" s="156"/>
      <c r="S57" s="156"/>
      <c r="T57" s="156"/>
    </row>
    <row r="58" spans="1:20" ht="15.75" customHeight="1">
      <c r="A58" s="112"/>
      <c r="B58" s="179" t="s">
        <v>258</v>
      </c>
      <c r="C58" s="201"/>
      <c r="D58" s="202"/>
      <c r="E58" s="203"/>
      <c r="F58" s="203"/>
      <c r="G58" s="203"/>
      <c r="H58" s="204"/>
      <c r="I58" s="187"/>
      <c r="J58" s="187"/>
      <c r="K58" s="187"/>
      <c r="L58" s="187"/>
      <c r="M58" s="188"/>
      <c r="N58" s="200"/>
      <c r="O58" s="156"/>
      <c r="P58" s="156"/>
      <c r="Q58" s="156"/>
      <c r="R58" s="156"/>
      <c r="S58" s="156"/>
      <c r="T58" s="156"/>
    </row>
    <row r="59" spans="1:20" ht="15.75" customHeight="1">
      <c r="A59" s="112"/>
      <c r="B59" s="205" t="s">
        <v>254</v>
      </c>
      <c r="C59" s="201" t="s">
        <v>255</v>
      </c>
      <c r="D59" s="175">
        <v>1</v>
      </c>
      <c r="E59" s="176">
        <v>0</v>
      </c>
      <c r="F59" s="176">
        <v>2</v>
      </c>
      <c r="G59" s="176">
        <v>3</v>
      </c>
      <c r="H59" s="177">
        <v>5</v>
      </c>
      <c r="I59" s="176">
        <v>7</v>
      </c>
      <c r="J59" s="178">
        <v>9</v>
      </c>
      <c r="K59" s="178">
        <v>11</v>
      </c>
      <c r="L59" s="178">
        <v>13</v>
      </c>
      <c r="M59" s="177">
        <v>15</v>
      </c>
      <c r="N59" s="156"/>
      <c r="O59" s="156"/>
      <c r="P59" s="156"/>
      <c r="Q59" s="156"/>
      <c r="R59" s="156"/>
      <c r="S59" s="156"/>
      <c r="T59" s="156"/>
    </row>
    <row r="60" spans="1:20" ht="15.75" customHeight="1">
      <c r="A60" s="112"/>
      <c r="B60" s="205" t="s">
        <v>256</v>
      </c>
      <c r="C60" s="201" t="s">
        <v>255</v>
      </c>
      <c r="D60" s="175">
        <v>23</v>
      </c>
      <c r="E60" s="176">
        <v>5</v>
      </c>
      <c r="F60" s="176">
        <v>11</v>
      </c>
      <c r="G60" s="176">
        <v>6.6</v>
      </c>
      <c r="H60" s="177">
        <v>6.6</v>
      </c>
      <c r="I60" s="176">
        <v>8</v>
      </c>
      <c r="J60" s="178">
        <v>9</v>
      </c>
      <c r="K60" s="178">
        <v>9</v>
      </c>
      <c r="L60" s="178">
        <v>10</v>
      </c>
      <c r="M60" s="177">
        <v>10</v>
      </c>
      <c r="N60" s="156"/>
      <c r="O60" s="156"/>
      <c r="P60" s="156"/>
      <c r="Q60" s="156"/>
      <c r="R60" s="156"/>
      <c r="S60" s="156"/>
      <c r="T60" s="156"/>
    </row>
    <row r="61" spans="1:20" ht="15.75" customHeight="1">
      <c r="A61" s="112"/>
      <c r="B61" s="205" t="s">
        <v>257</v>
      </c>
      <c r="C61" s="201" t="s">
        <v>255</v>
      </c>
      <c r="D61" s="175">
        <v>1</v>
      </c>
      <c r="E61" s="176">
        <v>0</v>
      </c>
      <c r="F61" s="176">
        <v>0</v>
      </c>
      <c r="G61" s="176">
        <v>0</v>
      </c>
      <c r="H61" s="177">
        <v>0</v>
      </c>
      <c r="I61" s="176">
        <v>0</v>
      </c>
      <c r="J61" s="178">
        <v>0</v>
      </c>
      <c r="K61" s="178">
        <v>0</v>
      </c>
      <c r="L61" s="178">
        <v>0</v>
      </c>
      <c r="M61" s="177">
        <v>0</v>
      </c>
      <c r="N61" s="156"/>
      <c r="O61" s="156"/>
      <c r="P61" s="156"/>
      <c r="Q61" s="156"/>
      <c r="R61" s="156"/>
      <c r="S61" s="156"/>
      <c r="T61" s="156"/>
    </row>
    <row r="62" spans="1:20" ht="15.75" customHeight="1">
      <c r="A62" s="112"/>
      <c r="B62" s="179" t="s">
        <v>259</v>
      </c>
      <c r="C62" s="201"/>
      <c r="D62" s="202"/>
      <c r="E62" s="203"/>
      <c r="F62" s="203"/>
      <c r="G62" s="203"/>
      <c r="H62" s="204"/>
      <c r="I62" s="187"/>
      <c r="J62" s="187"/>
      <c r="K62" s="187"/>
      <c r="L62" s="187"/>
      <c r="M62" s="188"/>
      <c r="N62" s="200"/>
      <c r="O62" s="156"/>
      <c r="P62" s="156"/>
      <c r="Q62" s="156"/>
      <c r="R62" s="156"/>
      <c r="S62" s="156"/>
      <c r="T62" s="156"/>
    </row>
    <row r="63" spans="1:20" ht="15.75" customHeight="1">
      <c r="A63" s="112"/>
      <c r="B63" s="205" t="s">
        <v>254</v>
      </c>
      <c r="C63" s="201" t="s">
        <v>255</v>
      </c>
      <c r="D63" s="175">
        <v>1</v>
      </c>
      <c r="E63" s="176">
        <v>0</v>
      </c>
      <c r="F63" s="176">
        <v>0</v>
      </c>
      <c r="G63" s="176">
        <v>0</v>
      </c>
      <c r="H63" s="177">
        <v>0</v>
      </c>
      <c r="I63" s="176">
        <v>0</v>
      </c>
      <c r="J63" s="178">
        <v>0</v>
      </c>
      <c r="K63" s="178">
        <v>0</v>
      </c>
      <c r="L63" s="178">
        <v>0</v>
      </c>
      <c r="M63" s="177">
        <v>0</v>
      </c>
      <c r="N63" s="156"/>
      <c r="O63" s="156"/>
      <c r="P63" s="156"/>
      <c r="Q63" s="156"/>
      <c r="R63" s="156"/>
      <c r="S63" s="156"/>
      <c r="T63" s="156"/>
    </row>
    <row r="64" spans="1:20" ht="15.75" customHeight="1">
      <c r="A64" s="112"/>
      <c r="B64" s="205" t="s">
        <v>256</v>
      </c>
      <c r="C64" s="201" t="s">
        <v>255</v>
      </c>
      <c r="D64" s="175">
        <v>0</v>
      </c>
      <c r="E64" s="176">
        <v>0</v>
      </c>
      <c r="F64" s="176">
        <v>0</v>
      </c>
      <c r="G64" s="176">
        <v>0</v>
      </c>
      <c r="H64" s="177">
        <v>0</v>
      </c>
      <c r="I64" s="176">
        <v>1</v>
      </c>
      <c r="J64" s="178">
        <v>0</v>
      </c>
      <c r="K64" s="178">
        <v>1</v>
      </c>
      <c r="L64" s="178">
        <v>0</v>
      </c>
      <c r="M64" s="177">
        <v>1</v>
      </c>
      <c r="N64" s="156"/>
      <c r="O64" s="156"/>
      <c r="P64" s="156"/>
      <c r="Q64" s="156"/>
      <c r="R64" s="156"/>
      <c r="S64" s="156"/>
      <c r="T64" s="156"/>
    </row>
    <row r="65" spans="1:20" ht="15.75" customHeight="1">
      <c r="A65" s="112"/>
      <c r="B65" s="205" t="s">
        <v>257</v>
      </c>
      <c r="C65" s="201" t="s">
        <v>255</v>
      </c>
      <c r="D65" s="175">
        <v>1</v>
      </c>
      <c r="E65" s="176">
        <v>0</v>
      </c>
      <c r="F65" s="176">
        <v>0</v>
      </c>
      <c r="G65" s="176">
        <v>0</v>
      </c>
      <c r="H65" s="177">
        <v>0</v>
      </c>
      <c r="I65" s="176">
        <v>0</v>
      </c>
      <c r="J65" s="178">
        <v>0</v>
      </c>
      <c r="K65" s="178">
        <v>0</v>
      </c>
      <c r="L65" s="178">
        <v>0</v>
      </c>
      <c r="M65" s="177">
        <v>0</v>
      </c>
      <c r="N65" s="156"/>
      <c r="O65" s="156"/>
      <c r="P65" s="156"/>
      <c r="Q65" s="156"/>
      <c r="R65" s="156"/>
      <c r="S65" s="156"/>
      <c r="T65" s="156"/>
    </row>
    <row r="66" spans="1:20" ht="15.75" customHeight="1">
      <c r="A66" s="112"/>
      <c r="B66" s="179" t="s">
        <v>260</v>
      </c>
      <c r="C66" s="201"/>
      <c r="D66" s="202"/>
      <c r="E66" s="203"/>
      <c r="F66" s="203"/>
      <c r="G66" s="203"/>
      <c r="H66" s="204"/>
      <c r="I66" s="187"/>
      <c r="J66" s="187"/>
      <c r="K66" s="187"/>
      <c r="L66" s="187"/>
      <c r="M66" s="188"/>
      <c r="N66" s="200"/>
      <c r="O66" s="156"/>
      <c r="P66" s="156"/>
      <c r="Q66" s="156"/>
      <c r="R66" s="156"/>
      <c r="S66" s="156"/>
      <c r="T66" s="156"/>
    </row>
    <row r="67" spans="1:20" ht="15.75" customHeight="1">
      <c r="A67" s="112"/>
      <c r="B67" s="205" t="s">
        <v>254</v>
      </c>
      <c r="C67" s="201" t="s">
        <v>255</v>
      </c>
      <c r="D67" s="206">
        <v>0</v>
      </c>
      <c r="E67" s="207">
        <v>0</v>
      </c>
      <c r="F67" s="207">
        <v>0</v>
      </c>
      <c r="G67" s="207">
        <v>0</v>
      </c>
      <c r="H67" s="208">
        <v>0</v>
      </c>
      <c r="I67" s="207">
        <v>0</v>
      </c>
      <c r="J67" s="209">
        <v>0</v>
      </c>
      <c r="K67" s="209">
        <v>0</v>
      </c>
      <c r="L67" s="209">
        <v>0</v>
      </c>
      <c r="M67" s="208">
        <v>0</v>
      </c>
      <c r="N67" s="156"/>
      <c r="O67" s="156"/>
      <c r="P67" s="156"/>
      <c r="Q67" s="156"/>
      <c r="R67" s="156"/>
      <c r="S67" s="156"/>
      <c r="T67" s="156"/>
    </row>
    <row r="68" spans="1:20" ht="15.75" customHeight="1">
      <c r="A68" s="112"/>
      <c r="B68" s="205" t="s">
        <v>256</v>
      </c>
      <c r="C68" s="201" t="s">
        <v>255</v>
      </c>
      <c r="D68" s="206">
        <v>0</v>
      </c>
      <c r="E68" s="207">
        <v>0</v>
      </c>
      <c r="F68" s="207">
        <v>0</v>
      </c>
      <c r="G68" s="207">
        <v>0</v>
      </c>
      <c r="H68" s="208">
        <v>0</v>
      </c>
      <c r="I68" s="207">
        <v>0</v>
      </c>
      <c r="J68" s="209">
        <v>0</v>
      </c>
      <c r="K68" s="209">
        <v>0</v>
      </c>
      <c r="L68" s="209">
        <v>0</v>
      </c>
      <c r="M68" s="208">
        <v>0</v>
      </c>
      <c r="N68" s="156"/>
      <c r="O68" s="156"/>
      <c r="P68" s="156"/>
      <c r="Q68" s="156"/>
      <c r="R68" s="156"/>
      <c r="S68" s="156"/>
      <c r="T68" s="156"/>
    </row>
    <row r="69" spans="1:20" ht="15.75" customHeight="1">
      <c r="A69" s="112"/>
      <c r="B69" s="205" t="s">
        <v>257</v>
      </c>
      <c r="C69" s="201" t="s">
        <v>255</v>
      </c>
      <c r="D69" s="175">
        <v>0</v>
      </c>
      <c r="E69" s="176">
        <v>0</v>
      </c>
      <c r="F69" s="176">
        <v>0</v>
      </c>
      <c r="G69" s="176">
        <v>0</v>
      </c>
      <c r="H69" s="177">
        <v>0</v>
      </c>
      <c r="I69" s="176">
        <v>0</v>
      </c>
      <c r="J69" s="178">
        <v>0</v>
      </c>
      <c r="K69" s="178">
        <v>0</v>
      </c>
      <c r="L69" s="178">
        <v>0</v>
      </c>
      <c r="M69" s="177">
        <v>0</v>
      </c>
      <c r="N69" s="156"/>
      <c r="O69" s="156"/>
      <c r="P69" s="156"/>
      <c r="Q69" s="156"/>
      <c r="R69" s="156"/>
      <c r="S69" s="156"/>
      <c r="T69" s="156"/>
    </row>
    <row r="70" spans="1:20" ht="15.75" customHeight="1">
      <c r="A70" s="112"/>
      <c r="B70" s="171" t="s">
        <v>261</v>
      </c>
      <c r="C70" s="201" t="s">
        <v>255</v>
      </c>
      <c r="D70" s="142">
        <v>15395</v>
      </c>
      <c r="E70" s="143">
        <v>16135</v>
      </c>
      <c r="F70" s="143">
        <v>14817</v>
      </c>
      <c r="G70" s="143">
        <v>11125.6</v>
      </c>
      <c r="H70" s="144">
        <v>8893</v>
      </c>
      <c r="I70" s="145">
        <v>10498</v>
      </c>
      <c r="J70" s="143">
        <v>12073</v>
      </c>
      <c r="K70" s="143">
        <v>12681</v>
      </c>
      <c r="L70" s="143">
        <v>13317</v>
      </c>
      <c r="M70" s="144">
        <v>13987</v>
      </c>
      <c r="N70" s="210"/>
      <c r="O70" s="156"/>
      <c r="P70" s="156"/>
      <c r="Q70" s="156"/>
      <c r="R70" s="156"/>
      <c r="S70" s="156"/>
      <c r="T70" s="156"/>
    </row>
    <row r="71" spans="1:20" ht="15.75" customHeight="1" thickBot="1">
      <c r="A71" s="112"/>
      <c r="B71" s="211" t="s">
        <v>262</v>
      </c>
      <c r="C71" s="212" t="s">
        <v>255</v>
      </c>
      <c r="D71" s="148">
        <v>5320</v>
      </c>
      <c r="E71" s="149">
        <v>3549</v>
      </c>
      <c r="F71" s="149">
        <v>3902</v>
      </c>
      <c r="G71" s="149">
        <v>2731</v>
      </c>
      <c r="H71" s="150">
        <v>2341</v>
      </c>
      <c r="I71" s="151">
        <v>2763</v>
      </c>
      <c r="J71" s="149">
        <v>3260</v>
      </c>
      <c r="K71" s="149">
        <v>3847</v>
      </c>
      <c r="L71" s="149">
        <v>4424</v>
      </c>
      <c r="M71" s="150">
        <v>5087</v>
      </c>
      <c r="N71" s="210"/>
      <c r="O71" s="156"/>
      <c r="P71" s="156"/>
      <c r="Q71" s="156"/>
      <c r="R71" s="156"/>
      <c r="S71" s="156"/>
      <c r="T71" s="156"/>
    </row>
    <row r="72" spans="1:20">
      <c r="A72" s="112"/>
      <c r="B72" s="213"/>
      <c r="C72" s="214"/>
      <c r="D72" s="156"/>
      <c r="E72" s="156"/>
      <c r="F72" s="156"/>
      <c r="G72" s="156"/>
      <c r="H72" s="156"/>
      <c r="I72" s="156"/>
      <c r="J72" s="156"/>
      <c r="K72" s="156"/>
      <c r="L72" s="156"/>
      <c r="M72" s="156"/>
      <c r="N72" s="156"/>
      <c r="O72" s="156"/>
      <c r="P72" s="156"/>
      <c r="Q72" s="156"/>
      <c r="R72" s="156"/>
      <c r="S72" s="156"/>
      <c r="T72" s="156"/>
    </row>
    <row r="73" spans="1:20">
      <c r="A73" s="112"/>
      <c r="B73" s="215"/>
      <c r="C73" s="216"/>
      <c r="D73" s="217"/>
      <c r="E73" s="217"/>
      <c r="F73" s="217"/>
      <c r="G73" s="217"/>
      <c r="H73" s="217"/>
      <c r="I73" s="217"/>
      <c r="J73" s="217"/>
      <c r="K73" s="217"/>
      <c r="L73" s="217"/>
      <c r="M73" s="217"/>
      <c r="N73" s="156"/>
      <c r="O73" s="217"/>
      <c r="P73" s="217"/>
      <c r="Q73" s="217"/>
      <c r="R73" s="156"/>
      <c r="S73" s="217"/>
      <c r="T73" s="217"/>
    </row>
    <row r="74" spans="1:20" s="111" customFormat="1" ht="15.75" customHeight="1">
      <c r="A74" s="105"/>
      <c r="B74" s="106" t="s">
        <v>263</v>
      </c>
      <c r="C74" s="107"/>
      <c r="D74" s="108"/>
      <c r="E74" s="108"/>
      <c r="F74" s="108"/>
      <c r="G74" s="108"/>
      <c r="H74" s="108"/>
      <c r="I74" s="108"/>
      <c r="J74" s="108"/>
      <c r="K74" s="108"/>
      <c r="L74" s="108"/>
      <c r="M74" s="108"/>
      <c r="N74" s="108"/>
      <c r="O74" s="109"/>
      <c r="P74" s="109"/>
      <c r="Q74" s="109"/>
      <c r="R74" s="110"/>
      <c r="S74" s="108"/>
      <c r="T74" s="108"/>
    </row>
    <row r="75" spans="1:20" ht="13.5" thickBot="1">
      <c r="A75" s="112"/>
      <c r="B75" s="157"/>
      <c r="C75" s="216"/>
      <c r="D75" s="217"/>
      <c r="E75" s="217"/>
      <c r="F75" s="217"/>
      <c r="G75" s="217"/>
      <c r="H75" s="217"/>
      <c r="I75" s="217"/>
      <c r="J75" s="217"/>
      <c r="K75" s="217"/>
      <c r="L75" s="217"/>
      <c r="M75" s="217"/>
      <c r="N75" s="156"/>
      <c r="O75" s="217"/>
      <c r="P75" s="217"/>
      <c r="Q75" s="217"/>
      <c r="R75" s="156"/>
      <c r="S75" s="217"/>
      <c r="T75" s="217"/>
    </row>
    <row r="76" spans="1:20" ht="15.75" customHeight="1">
      <c r="A76" s="112"/>
      <c r="B76" s="1493" t="s">
        <v>263</v>
      </c>
      <c r="C76" s="1495" t="s">
        <v>210</v>
      </c>
      <c r="D76" s="158" t="s">
        <v>211</v>
      </c>
      <c r="E76" s="159"/>
      <c r="F76" s="159"/>
      <c r="G76" s="159"/>
      <c r="H76" s="160"/>
      <c r="I76" s="159" t="s">
        <v>212</v>
      </c>
      <c r="J76" s="161"/>
      <c r="K76" s="161"/>
      <c r="L76" s="161"/>
      <c r="M76" s="160"/>
      <c r="N76" s="156"/>
      <c r="O76" s="218" t="s">
        <v>211</v>
      </c>
      <c r="P76" s="219"/>
      <c r="Q76" s="220"/>
      <c r="R76" s="156"/>
      <c r="S76" s="218" t="s">
        <v>212</v>
      </c>
      <c r="T76" s="220"/>
    </row>
    <row r="77" spans="1:20" ht="25.5">
      <c r="A77" s="112"/>
      <c r="B77" s="1494"/>
      <c r="C77" s="1496"/>
      <c r="D77" s="162" t="s">
        <v>99</v>
      </c>
      <c r="E77" s="163" t="s">
        <v>100</v>
      </c>
      <c r="F77" s="163" t="s">
        <v>101</v>
      </c>
      <c r="G77" s="163" t="s">
        <v>102</v>
      </c>
      <c r="H77" s="164" t="s">
        <v>64</v>
      </c>
      <c r="I77" s="165" t="s">
        <v>213</v>
      </c>
      <c r="J77" s="163" t="s">
        <v>214</v>
      </c>
      <c r="K77" s="163" t="s">
        <v>215</v>
      </c>
      <c r="L77" s="163" t="s">
        <v>216</v>
      </c>
      <c r="M77" s="164" t="s">
        <v>217</v>
      </c>
      <c r="N77" s="156"/>
      <c r="O77" s="221" t="s">
        <v>218</v>
      </c>
      <c r="P77" s="222" t="s">
        <v>219</v>
      </c>
      <c r="Q77" s="223" t="s">
        <v>220</v>
      </c>
      <c r="R77" s="156"/>
      <c r="S77" s="221" t="s">
        <v>219</v>
      </c>
      <c r="T77" s="223" t="s">
        <v>221</v>
      </c>
    </row>
    <row r="78" spans="1:20" ht="15.75" customHeight="1">
      <c r="A78" s="112"/>
      <c r="B78" s="224" t="s">
        <v>264</v>
      </c>
      <c r="C78" s="225"/>
      <c r="D78" s="197"/>
      <c r="E78" s="198"/>
      <c r="F78" s="198"/>
      <c r="G78" s="198"/>
      <c r="H78" s="199"/>
      <c r="I78" s="182"/>
      <c r="J78" s="182"/>
      <c r="K78" s="182"/>
      <c r="L78" s="182"/>
      <c r="M78" s="183"/>
      <c r="N78" s="156"/>
      <c r="O78" s="181"/>
      <c r="P78" s="182"/>
      <c r="Q78" s="183"/>
      <c r="R78" s="156"/>
      <c r="S78" s="181"/>
      <c r="T78" s="183"/>
    </row>
    <row r="79" spans="1:20" ht="15.75" customHeight="1">
      <c r="A79" s="112"/>
      <c r="B79" s="226" t="s">
        <v>265</v>
      </c>
      <c r="C79" s="227"/>
      <c r="D79" s="168"/>
      <c r="E79" s="169"/>
      <c r="F79" s="169"/>
      <c r="G79" s="169"/>
      <c r="H79" s="170"/>
      <c r="I79" s="169"/>
      <c r="J79" s="169"/>
      <c r="K79" s="169"/>
      <c r="L79" s="169"/>
      <c r="M79" s="170"/>
      <c r="N79" s="156"/>
      <c r="O79" s="228"/>
      <c r="P79" s="229"/>
      <c r="Q79" s="230"/>
      <c r="R79" s="156"/>
      <c r="S79" s="168"/>
      <c r="T79" s="170"/>
    </row>
    <row r="80" spans="1:20" ht="15.75" customHeight="1">
      <c r="A80" s="112"/>
      <c r="B80" s="231" t="s">
        <v>266</v>
      </c>
      <c r="C80" s="201" t="s">
        <v>223</v>
      </c>
      <c r="D80" s="175">
        <v>15.799999999999999</v>
      </c>
      <c r="E80" s="176">
        <v>12.3</v>
      </c>
      <c r="F80" s="176">
        <v>22.3</v>
      </c>
      <c r="G80" s="176">
        <v>26.5</v>
      </c>
      <c r="H80" s="177">
        <v>13.867080534767005</v>
      </c>
      <c r="I80" s="176">
        <v>11.539852981106243</v>
      </c>
      <c r="J80" s="178">
        <v>12.802551259766776</v>
      </c>
      <c r="K80" s="178">
        <v>13.693630326503303</v>
      </c>
      <c r="L80" s="178">
        <v>14.417439768762316</v>
      </c>
      <c r="M80" s="177">
        <v>15.236838624500756</v>
      </c>
      <c r="N80" s="156"/>
      <c r="O80" s="135">
        <v>50.400000000000006</v>
      </c>
      <c r="P80" s="136">
        <v>40.367080534767005</v>
      </c>
      <c r="Q80" s="137">
        <v>90.767080534767018</v>
      </c>
      <c r="R80" s="156"/>
      <c r="S80" s="135">
        <v>67.690312960639389</v>
      </c>
      <c r="T80" s="137">
        <v>-0.25424159770444976</v>
      </c>
    </row>
    <row r="81" spans="1:20" ht="15.75" customHeight="1">
      <c r="A81" s="112"/>
      <c r="B81" s="231" t="s">
        <v>267</v>
      </c>
      <c r="C81" s="201" t="s">
        <v>223</v>
      </c>
      <c r="D81" s="175">
        <v>0</v>
      </c>
      <c r="E81" s="176">
        <v>0</v>
      </c>
      <c r="F81" s="176">
        <v>0</v>
      </c>
      <c r="G81" s="176">
        <v>0</v>
      </c>
      <c r="H81" s="177">
        <v>0</v>
      </c>
      <c r="I81" s="176">
        <v>0</v>
      </c>
      <c r="J81" s="178">
        <v>0</v>
      </c>
      <c r="K81" s="178">
        <v>0</v>
      </c>
      <c r="L81" s="178">
        <v>0</v>
      </c>
      <c r="M81" s="177">
        <v>0</v>
      </c>
      <c r="N81" s="156"/>
      <c r="O81" s="135">
        <v>0</v>
      </c>
      <c r="P81" s="136">
        <v>0</v>
      </c>
      <c r="Q81" s="137">
        <v>0</v>
      </c>
      <c r="R81" s="156"/>
      <c r="S81" s="135">
        <v>0</v>
      </c>
      <c r="T81" s="137" t="s">
        <v>1016</v>
      </c>
    </row>
    <row r="82" spans="1:20" ht="15.75" customHeight="1">
      <c r="A82" s="112"/>
      <c r="B82" s="232" t="s">
        <v>268</v>
      </c>
      <c r="C82" s="201" t="s">
        <v>223</v>
      </c>
      <c r="D82" s="135">
        <v>15.799999999999999</v>
      </c>
      <c r="E82" s="233">
        <v>12.3</v>
      </c>
      <c r="F82" s="233">
        <v>22.3</v>
      </c>
      <c r="G82" s="233">
        <v>26.5</v>
      </c>
      <c r="H82" s="137">
        <v>13.867080534767005</v>
      </c>
      <c r="I82" s="233">
        <v>11.539852981106243</v>
      </c>
      <c r="J82" s="136">
        <v>12.802551259766776</v>
      </c>
      <c r="K82" s="136">
        <v>13.693630326503303</v>
      </c>
      <c r="L82" s="136">
        <v>14.417439768762316</v>
      </c>
      <c r="M82" s="137">
        <v>15.236838624500756</v>
      </c>
      <c r="N82" s="156"/>
      <c r="O82" s="135">
        <v>50.400000000000006</v>
      </c>
      <c r="P82" s="136">
        <v>40.367080534767005</v>
      </c>
      <c r="Q82" s="137">
        <v>90.767080534767018</v>
      </c>
      <c r="R82" s="156"/>
      <c r="S82" s="135">
        <v>67.690312960639389</v>
      </c>
      <c r="T82" s="137">
        <v>-0.25424159770444976</v>
      </c>
    </row>
    <row r="83" spans="1:20" ht="15.75" customHeight="1">
      <c r="A83" s="112"/>
      <c r="B83" s="226" t="s">
        <v>269</v>
      </c>
      <c r="C83" s="234"/>
      <c r="D83" s="235"/>
      <c r="E83" s="236"/>
      <c r="F83" s="236"/>
      <c r="G83" s="236"/>
      <c r="H83" s="237"/>
      <c r="I83" s="236"/>
      <c r="J83" s="236"/>
      <c r="K83" s="236"/>
      <c r="L83" s="236"/>
      <c r="M83" s="237"/>
      <c r="N83" s="156"/>
      <c r="O83" s="238"/>
      <c r="P83" s="236"/>
      <c r="Q83" s="237"/>
      <c r="R83" s="156"/>
      <c r="S83" s="235"/>
      <c r="T83" s="237"/>
    </row>
    <row r="84" spans="1:20" ht="15.75" customHeight="1">
      <c r="A84" s="112"/>
      <c r="B84" s="231" t="s">
        <v>266</v>
      </c>
      <c r="C84" s="201" t="s">
        <v>223</v>
      </c>
      <c r="D84" s="175">
        <v>11.8</v>
      </c>
      <c r="E84" s="176">
        <v>11.4</v>
      </c>
      <c r="F84" s="176">
        <v>9</v>
      </c>
      <c r="G84" s="176">
        <v>4</v>
      </c>
      <c r="H84" s="177">
        <v>6.5</v>
      </c>
      <c r="I84" s="176">
        <v>6.080547018893756</v>
      </c>
      <c r="J84" s="178">
        <v>7.433922400214982</v>
      </c>
      <c r="K84" s="178">
        <v>7.7735200073039348</v>
      </c>
      <c r="L84" s="178">
        <v>8.2393000378352053</v>
      </c>
      <c r="M84" s="177">
        <v>8.7629020484848184</v>
      </c>
      <c r="N84" s="156"/>
      <c r="O84" s="135">
        <v>32.200000000000003</v>
      </c>
      <c r="P84" s="136">
        <v>10.5</v>
      </c>
      <c r="Q84" s="137">
        <v>42.7</v>
      </c>
      <c r="R84" s="156"/>
      <c r="S84" s="135">
        <v>38.290191512732697</v>
      </c>
      <c r="T84" s="137">
        <v>-0.10327420344888302</v>
      </c>
    </row>
    <row r="85" spans="1:20" ht="15.75" customHeight="1">
      <c r="A85" s="112"/>
      <c r="B85" s="231" t="s">
        <v>267</v>
      </c>
      <c r="C85" s="201" t="s">
        <v>223</v>
      </c>
      <c r="D85" s="175">
        <v>0</v>
      </c>
      <c r="E85" s="176">
        <v>0</v>
      </c>
      <c r="F85" s="176">
        <v>0</v>
      </c>
      <c r="G85" s="176">
        <v>0</v>
      </c>
      <c r="H85" s="177">
        <v>0</v>
      </c>
      <c r="I85" s="176">
        <v>0</v>
      </c>
      <c r="J85" s="178">
        <v>0</v>
      </c>
      <c r="K85" s="178">
        <v>0</v>
      </c>
      <c r="L85" s="178">
        <v>0</v>
      </c>
      <c r="M85" s="177">
        <v>0</v>
      </c>
      <c r="N85" s="156"/>
      <c r="O85" s="135">
        <v>0</v>
      </c>
      <c r="P85" s="136">
        <v>0</v>
      </c>
      <c r="Q85" s="137">
        <v>0</v>
      </c>
      <c r="R85" s="156"/>
      <c r="S85" s="135">
        <v>0</v>
      </c>
      <c r="T85" s="137" t="s">
        <v>1016</v>
      </c>
    </row>
    <row r="86" spans="1:20" ht="15.75" customHeight="1">
      <c r="A86" s="112"/>
      <c r="B86" s="232" t="s">
        <v>270</v>
      </c>
      <c r="C86" s="201" t="s">
        <v>223</v>
      </c>
      <c r="D86" s="135">
        <v>11.8</v>
      </c>
      <c r="E86" s="233">
        <v>11.4</v>
      </c>
      <c r="F86" s="233">
        <v>9</v>
      </c>
      <c r="G86" s="233">
        <v>4</v>
      </c>
      <c r="H86" s="137">
        <v>6.5</v>
      </c>
      <c r="I86" s="233">
        <v>6.080547018893756</v>
      </c>
      <c r="J86" s="136">
        <v>7.433922400214982</v>
      </c>
      <c r="K86" s="136">
        <v>7.7735200073039348</v>
      </c>
      <c r="L86" s="136">
        <v>8.2393000378352053</v>
      </c>
      <c r="M86" s="137">
        <v>8.7629020484848184</v>
      </c>
      <c r="N86" s="156"/>
      <c r="O86" s="135">
        <v>32.200000000000003</v>
      </c>
      <c r="P86" s="136">
        <v>10.5</v>
      </c>
      <c r="Q86" s="137">
        <v>42.7</v>
      </c>
      <c r="R86" s="156"/>
      <c r="S86" s="135">
        <v>38.290191512732697</v>
      </c>
      <c r="T86" s="137">
        <v>-0.10327420344888302</v>
      </c>
    </row>
    <row r="87" spans="1:20" ht="15.75" customHeight="1">
      <c r="A87" s="112"/>
      <c r="B87" s="226" t="s">
        <v>271</v>
      </c>
      <c r="C87" s="234"/>
      <c r="D87" s="235"/>
      <c r="E87" s="236"/>
      <c r="F87" s="236"/>
      <c r="G87" s="236"/>
      <c r="H87" s="237"/>
      <c r="I87" s="236"/>
      <c r="J87" s="236"/>
      <c r="K87" s="236"/>
      <c r="L87" s="236"/>
      <c r="M87" s="237"/>
      <c r="N87" s="156"/>
      <c r="O87" s="235"/>
      <c r="P87" s="236"/>
      <c r="Q87" s="237"/>
      <c r="R87" s="156"/>
      <c r="S87" s="235"/>
      <c r="T87" s="237"/>
    </row>
    <row r="88" spans="1:20" ht="15.75" customHeight="1">
      <c r="A88" s="112"/>
      <c r="B88" s="231" t="s">
        <v>266</v>
      </c>
      <c r="C88" s="201" t="s">
        <v>223</v>
      </c>
      <c r="D88" s="175">
        <v>0.97216189050392954</v>
      </c>
      <c r="E88" s="176">
        <v>0</v>
      </c>
      <c r="F88" s="176">
        <v>0</v>
      </c>
      <c r="G88" s="176">
        <v>0</v>
      </c>
      <c r="H88" s="177">
        <v>0</v>
      </c>
      <c r="I88" s="176">
        <v>7.3</v>
      </c>
      <c r="J88" s="178">
        <v>6.6</v>
      </c>
      <c r="K88" s="178">
        <v>7.0999999999999988</v>
      </c>
      <c r="L88" s="178">
        <v>5.0999999999999996</v>
      </c>
      <c r="M88" s="177">
        <v>6</v>
      </c>
      <c r="N88" s="156"/>
      <c r="O88" s="135">
        <v>0.97216189050392954</v>
      </c>
      <c r="P88" s="136">
        <v>0</v>
      </c>
      <c r="Q88" s="137">
        <v>0.97216189050392954</v>
      </c>
      <c r="R88" s="156"/>
      <c r="S88" s="135">
        <v>32.099999999999994</v>
      </c>
      <c r="T88" s="137">
        <v>32.019191878999337</v>
      </c>
    </row>
    <row r="89" spans="1:20" ht="15.75" customHeight="1">
      <c r="A89" s="112"/>
      <c r="B89" s="231" t="s">
        <v>267</v>
      </c>
      <c r="C89" s="201" t="s">
        <v>223</v>
      </c>
      <c r="D89" s="175">
        <v>0</v>
      </c>
      <c r="E89" s="176">
        <v>0</v>
      </c>
      <c r="F89" s="176">
        <v>0</v>
      </c>
      <c r="G89" s="176">
        <v>0</v>
      </c>
      <c r="H89" s="177">
        <v>0</v>
      </c>
      <c r="I89" s="176">
        <v>0</v>
      </c>
      <c r="J89" s="178">
        <v>0</v>
      </c>
      <c r="K89" s="178">
        <v>0</v>
      </c>
      <c r="L89" s="178">
        <v>0</v>
      </c>
      <c r="M89" s="177">
        <v>0</v>
      </c>
      <c r="N89" s="156"/>
      <c r="O89" s="135">
        <v>0</v>
      </c>
      <c r="P89" s="136">
        <v>0</v>
      </c>
      <c r="Q89" s="137">
        <v>0</v>
      </c>
      <c r="R89" s="156"/>
      <c r="S89" s="135">
        <v>0</v>
      </c>
      <c r="T89" s="137" t="s">
        <v>1016</v>
      </c>
    </row>
    <row r="90" spans="1:20" ht="15.75" customHeight="1">
      <c r="A90" s="112"/>
      <c r="B90" s="232" t="s">
        <v>272</v>
      </c>
      <c r="C90" s="201" t="s">
        <v>223</v>
      </c>
      <c r="D90" s="135">
        <v>0.97216189050392954</v>
      </c>
      <c r="E90" s="233">
        <v>0</v>
      </c>
      <c r="F90" s="233">
        <v>0</v>
      </c>
      <c r="G90" s="233">
        <v>0</v>
      </c>
      <c r="H90" s="137">
        <v>0</v>
      </c>
      <c r="I90" s="233">
        <v>7.3</v>
      </c>
      <c r="J90" s="136">
        <v>6.6</v>
      </c>
      <c r="K90" s="136">
        <v>7.0999999999999988</v>
      </c>
      <c r="L90" s="136">
        <v>5.0999999999999996</v>
      </c>
      <c r="M90" s="137">
        <v>6</v>
      </c>
      <c r="N90" s="156"/>
      <c r="O90" s="135">
        <v>0.97216189050392954</v>
      </c>
      <c r="P90" s="136">
        <v>0</v>
      </c>
      <c r="Q90" s="137">
        <v>0.97216189050392954</v>
      </c>
      <c r="R90" s="156"/>
      <c r="S90" s="135">
        <v>32.099999999999994</v>
      </c>
      <c r="T90" s="137">
        <v>32.019191878999337</v>
      </c>
    </row>
    <row r="91" spans="1:20" ht="15.75" customHeight="1">
      <c r="A91" s="112"/>
      <c r="B91" s="226" t="s">
        <v>273</v>
      </c>
      <c r="C91" s="234"/>
      <c r="D91" s="235"/>
      <c r="E91" s="236"/>
      <c r="F91" s="236"/>
      <c r="G91" s="236"/>
      <c r="H91" s="237"/>
      <c r="I91" s="236"/>
      <c r="J91" s="236"/>
      <c r="K91" s="236"/>
      <c r="L91" s="236"/>
      <c r="M91" s="237"/>
      <c r="N91" s="156"/>
      <c r="O91" s="235"/>
      <c r="P91" s="236"/>
      <c r="Q91" s="237"/>
      <c r="R91" s="156"/>
      <c r="S91" s="235"/>
      <c r="T91" s="237"/>
    </row>
    <row r="92" spans="1:20" ht="15.75" customHeight="1">
      <c r="A92" s="112"/>
      <c r="B92" s="231" t="s">
        <v>266</v>
      </c>
      <c r="C92" s="201" t="s">
        <v>223</v>
      </c>
      <c r="D92" s="175">
        <v>0</v>
      </c>
      <c r="E92" s="176">
        <v>0</v>
      </c>
      <c r="F92" s="176">
        <v>0</v>
      </c>
      <c r="G92" s="176">
        <v>0</v>
      </c>
      <c r="H92" s="177">
        <v>0</v>
      </c>
      <c r="I92" s="176">
        <v>0</v>
      </c>
      <c r="J92" s="178">
        <v>0</v>
      </c>
      <c r="K92" s="178">
        <v>0</v>
      </c>
      <c r="L92" s="178">
        <v>0</v>
      </c>
      <c r="M92" s="177">
        <v>0</v>
      </c>
      <c r="N92" s="156"/>
      <c r="O92" s="135">
        <v>0</v>
      </c>
      <c r="P92" s="136">
        <v>0</v>
      </c>
      <c r="Q92" s="137">
        <v>0</v>
      </c>
      <c r="R92" s="156"/>
      <c r="S92" s="135">
        <v>0</v>
      </c>
      <c r="T92" s="137" t="s">
        <v>1016</v>
      </c>
    </row>
    <row r="93" spans="1:20" ht="15.75" customHeight="1">
      <c r="A93" s="112"/>
      <c r="B93" s="231" t="s">
        <v>267</v>
      </c>
      <c r="C93" s="201" t="s">
        <v>223</v>
      </c>
      <c r="D93" s="175">
        <v>0</v>
      </c>
      <c r="E93" s="176">
        <v>0</v>
      </c>
      <c r="F93" s="176">
        <v>0</v>
      </c>
      <c r="G93" s="176">
        <v>0</v>
      </c>
      <c r="H93" s="177">
        <v>0</v>
      </c>
      <c r="I93" s="176">
        <v>0</v>
      </c>
      <c r="J93" s="178">
        <v>0</v>
      </c>
      <c r="K93" s="178">
        <v>0</v>
      </c>
      <c r="L93" s="178">
        <v>0</v>
      </c>
      <c r="M93" s="177">
        <v>0</v>
      </c>
      <c r="N93" s="156"/>
      <c r="O93" s="135">
        <v>0</v>
      </c>
      <c r="P93" s="136">
        <v>0</v>
      </c>
      <c r="Q93" s="137">
        <v>0</v>
      </c>
      <c r="R93" s="156"/>
      <c r="S93" s="135">
        <v>0</v>
      </c>
      <c r="T93" s="137" t="s">
        <v>1016</v>
      </c>
    </row>
    <row r="94" spans="1:20" ht="15.75" customHeight="1">
      <c r="A94" s="112"/>
      <c r="B94" s="232" t="s">
        <v>274</v>
      </c>
      <c r="C94" s="201" t="s">
        <v>223</v>
      </c>
      <c r="D94" s="135">
        <v>0</v>
      </c>
      <c r="E94" s="233">
        <v>0</v>
      </c>
      <c r="F94" s="233">
        <v>0</v>
      </c>
      <c r="G94" s="233">
        <v>0</v>
      </c>
      <c r="H94" s="137">
        <v>0</v>
      </c>
      <c r="I94" s="233">
        <v>0</v>
      </c>
      <c r="J94" s="136">
        <v>0</v>
      </c>
      <c r="K94" s="136">
        <v>0</v>
      </c>
      <c r="L94" s="136">
        <v>0</v>
      </c>
      <c r="M94" s="137">
        <v>0</v>
      </c>
      <c r="N94" s="156"/>
      <c r="O94" s="135">
        <v>0</v>
      </c>
      <c r="P94" s="136">
        <v>0</v>
      </c>
      <c r="Q94" s="137">
        <v>0</v>
      </c>
      <c r="R94" s="156"/>
      <c r="S94" s="135">
        <v>0</v>
      </c>
      <c r="T94" s="137" t="s">
        <v>1016</v>
      </c>
    </row>
    <row r="95" spans="1:20" ht="15.75" customHeight="1">
      <c r="A95" s="112"/>
      <c r="B95" s="184"/>
      <c r="C95" s="201"/>
      <c r="D95" s="235"/>
      <c r="E95" s="236"/>
      <c r="F95" s="236"/>
      <c r="G95" s="236"/>
      <c r="H95" s="237"/>
      <c r="I95" s="236"/>
      <c r="J95" s="236"/>
      <c r="K95" s="236"/>
      <c r="L95" s="236"/>
      <c r="M95" s="237"/>
      <c r="N95" s="156"/>
      <c r="O95" s="235"/>
      <c r="P95" s="236"/>
      <c r="Q95" s="237"/>
      <c r="R95" s="156"/>
      <c r="S95" s="235"/>
      <c r="T95" s="237"/>
    </row>
    <row r="96" spans="1:20" ht="15.75" customHeight="1">
      <c r="A96" s="112"/>
      <c r="B96" s="184" t="s">
        <v>275</v>
      </c>
      <c r="C96" s="201" t="s">
        <v>223</v>
      </c>
      <c r="D96" s="239">
        <v>0</v>
      </c>
      <c r="E96" s="240">
        <v>0</v>
      </c>
      <c r="F96" s="240">
        <v>0</v>
      </c>
      <c r="G96" s="176">
        <v>0</v>
      </c>
      <c r="H96" s="177">
        <v>0</v>
      </c>
      <c r="I96" s="176">
        <v>0</v>
      </c>
      <c r="J96" s="178">
        <v>0</v>
      </c>
      <c r="K96" s="178">
        <v>0</v>
      </c>
      <c r="L96" s="178">
        <v>0</v>
      </c>
      <c r="M96" s="177">
        <v>0</v>
      </c>
      <c r="N96" s="156"/>
      <c r="O96" s="135">
        <v>0</v>
      </c>
      <c r="P96" s="136">
        <v>0</v>
      </c>
      <c r="Q96" s="137">
        <v>0</v>
      </c>
      <c r="R96" s="156"/>
      <c r="S96" s="135">
        <v>0</v>
      </c>
      <c r="T96" s="137">
        <v>0</v>
      </c>
    </row>
    <row r="97" spans="1:20" ht="15.75" customHeight="1">
      <c r="A97" s="112"/>
      <c r="B97" s="184" t="s">
        <v>276</v>
      </c>
      <c r="C97" s="201" t="s">
        <v>223</v>
      </c>
      <c r="D97" s="142">
        <v>28.572161890503931</v>
      </c>
      <c r="E97" s="145">
        <v>23.700000000000003</v>
      </c>
      <c r="F97" s="145">
        <v>31.3</v>
      </c>
      <c r="G97" s="145">
        <v>30.5</v>
      </c>
      <c r="H97" s="144">
        <v>20.367080534767005</v>
      </c>
      <c r="I97" s="145">
        <v>24.920400000000001</v>
      </c>
      <c r="J97" s="143">
        <v>26.836473659981756</v>
      </c>
      <c r="K97" s="143">
        <v>28.567150333807238</v>
      </c>
      <c r="L97" s="143">
        <v>27.756739806597523</v>
      </c>
      <c r="M97" s="144">
        <v>29.999740672985574</v>
      </c>
      <c r="N97" s="194"/>
      <c r="O97" s="142">
        <v>83.572161890503935</v>
      </c>
      <c r="P97" s="143">
        <v>50.867080534767005</v>
      </c>
      <c r="Q97" s="144">
        <v>134.43924242527098</v>
      </c>
      <c r="R97" s="194"/>
      <c r="S97" s="142">
        <v>138.08050447337209</v>
      </c>
      <c r="T97" s="144">
        <v>2.7084815284682474E-2</v>
      </c>
    </row>
    <row r="98" spans="1:20" ht="15.75" customHeight="1">
      <c r="A98" s="112"/>
      <c r="B98" s="184"/>
      <c r="C98" s="201"/>
      <c r="D98" s="235"/>
      <c r="E98" s="236"/>
      <c r="F98" s="236"/>
      <c r="G98" s="236"/>
      <c r="H98" s="237"/>
      <c r="I98" s="236"/>
      <c r="J98" s="236"/>
      <c r="K98" s="236"/>
      <c r="L98" s="236"/>
      <c r="M98" s="237"/>
      <c r="N98" s="156"/>
      <c r="O98" s="235"/>
      <c r="P98" s="236"/>
      <c r="Q98" s="237"/>
      <c r="R98" s="156"/>
      <c r="S98" s="235"/>
      <c r="T98" s="237"/>
    </row>
    <row r="99" spans="1:20" ht="15.75" customHeight="1">
      <c r="A99" s="112"/>
      <c r="B99" s="184" t="s">
        <v>277</v>
      </c>
      <c r="C99" s="172" t="s">
        <v>223</v>
      </c>
      <c r="D99" s="239">
        <v>0</v>
      </c>
      <c r="E99" s="240">
        <v>0</v>
      </c>
      <c r="F99" s="240">
        <v>0</v>
      </c>
      <c r="G99" s="176">
        <v>0</v>
      </c>
      <c r="H99" s="177">
        <v>0</v>
      </c>
      <c r="I99" s="176">
        <v>0</v>
      </c>
      <c r="J99" s="178">
        <v>0</v>
      </c>
      <c r="K99" s="178">
        <v>0</v>
      </c>
      <c r="L99" s="178">
        <v>0</v>
      </c>
      <c r="M99" s="177">
        <v>0</v>
      </c>
      <c r="N99" s="156"/>
      <c r="O99" s="135">
        <v>0</v>
      </c>
      <c r="P99" s="136">
        <v>0</v>
      </c>
      <c r="Q99" s="137">
        <v>0</v>
      </c>
      <c r="R99" s="156"/>
      <c r="S99" s="135">
        <v>0</v>
      </c>
      <c r="T99" s="137">
        <v>0</v>
      </c>
    </row>
    <row r="100" spans="1:20" ht="15.75" customHeight="1" thickBot="1">
      <c r="A100" s="112"/>
      <c r="B100" s="192" t="s">
        <v>278</v>
      </c>
      <c r="C100" s="212" t="s">
        <v>223</v>
      </c>
      <c r="D100" s="241">
        <v>0</v>
      </c>
      <c r="E100" s="242">
        <v>0</v>
      </c>
      <c r="F100" s="242">
        <v>0</v>
      </c>
      <c r="G100" s="243">
        <v>0</v>
      </c>
      <c r="H100" s="244">
        <v>0</v>
      </c>
      <c r="I100" s="243">
        <v>0</v>
      </c>
      <c r="J100" s="245">
        <v>0</v>
      </c>
      <c r="K100" s="245">
        <v>0</v>
      </c>
      <c r="L100" s="245">
        <v>0</v>
      </c>
      <c r="M100" s="244">
        <v>0</v>
      </c>
      <c r="N100" s="156"/>
      <c r="O100" s="152">
        <v>0</v>
      </c>
      <c r="P100" s="153">
        <v>0</v>
      </c>
      <c r="Q100" s="154">
        <v>0</v>
      </c>
      <c r="R100" s="156"/>
      <c r="S100" s="152">
        <v>0</v>
      </c>
      <c r="T100" s="154">
        <v>0</v>
      </c>
    </row>
    <row r="101" spans="1:20">
      <c r="A101" s="112"/>
      <c r="B101" s="112"/>
      <c r="C101" s="112"/>
      <c r="D101" s="155"/>
      <c r="E101" s="155"/>
      <c r="F101" s="155"/>
      <c r="G101" s="155"/>
      <c r="H101" s="155"/>
      <c r="I101" s="155"/>
      <c r="J101" s="155"/>
      <c r="K101" s="155"/>
      <c r="L101" s="155"/>
      <c r="M101" s="155"/>
      <c r="N101" s="155"/>
      <c r="O101" s="155"/>
      <c r="P101" s="155"/>
      <c r="Q101" s="155"/>
      <c r="R101" s="155"/>
      <c r="S101" s="155"/>
      <c r="T101" s="155"/>
    </row>
    <row r="102" spans="1:20">
      <c r="A102" s="112"/>
      <c r="B102" s="112"/>
      <c r="C102" s="113"/>
      <c r="D102" s="108"/>
      <c r="E102" s="108"/>
      <c r="F102" s="108"/>
      <c r="G102" s="108"/>
      <c r="H102" s="108"/>
      <c r="I102" s="108"/>
      <c r="J102" s="108"/>
      <c r="K102" s="108"/>
      <c r="L102" s="108"/>
      <c r="M102" s="108"/>
      <c r="N102" s="156"/>
      <c r="O102" s="108"/>
      <c r="P102" s="108"/>
      <c r="Q102" s="108"/>
      <c r="R102" s="156"/>
      <c r="S102" s="108"/>
      <c r="T102" s="108"/>
    </row>
    <row r="103" spans="1:20" s="111" customFormat="1" ht="15.75" customHeight="1">
      <c r="A103" s="105"/>
      <c r="B103" s="106" t="s">
        <v>279</v>
      </c>
      <c r="C103" s="107"/>
      <c r="D103" s="108"/>
      <c r="E103" s="108"/>
      <c r="F103" s="108"/>
      <c r="G103" s="108"/>
      <c r="H103" s="108"/>
      <c r="I103" s="108"/>
      <c r="J103" s="108"/>
      <c r="K103" s="108"/>
      <c r="L103" s="108"/>
      <c r="M103" s="108"/>
      <c r="N103" s="108"/>
      <c r="O103" s="109"/>
      <c r="P103" s="109"/>
      <c r="Q103" s="109"/>
      <c r="R103" s="110"/>
      <c r="S103" s="108"/>
      <c r="T103" s="108"/>
    </row>
    <row r="104" spans="1:20" ht="13.5" thickBot="1">
      <c r="A104" s="112"/>
      <c r="B104" s="157"/>
      <c r="C104" s="216"/>
      <c r="D104" s="217"/>
      <c r="E104" s="217"/>
      <c r="F104" s="217"/>
      <c r="G104" s="217"/>
      <c r="H104" s="217"/>
      <c r="I104" s="217"/>
      <c r="J104" s="217"/>
      <c r="K104" s="217"/>
      <c r="L104" s="217"/>
      <c r="M104" s="217"/>
      <c r="N104" s="156"/>
      <c r="O104" s="217"/>
      <c r="P104" s="217"/>
      <c r="Q104" s="217"/>
      <c r="R104" s="156"/>
      <c r="S104" s="217"/>
      <c r="T104" s="217"/>
    </row>
    <row r="105" spans="1:20" ht="15.75" customHeight="1">
      <c r="A105" s="112"/>
      <c r="B105" s="1493" t="s">
        <v>279</v>
      </c>
      <c r="C105" s="1495" t="s">
        <v>210</v>
      </c>
      <c r="D105" s="158" t="s">
        <v>211</v>
      </c>
      <c r="E105" s="159"/>
      <c r="F105" s="159"/>
      <c r="G105" s="159"/>
      <c r="H105" s="160"/>
      <c r="I105" s="159" t="s">
        <v>212</v>
      </c>
      <c r="J105" s="161"/>
      <c r="K105" s="161"/>
      <c r="L105" s="161"/>
      <c r="M105" s="160"/>
      <c r="N105" s="156"/>
      <c r="O105" s="218" t="s">
        <v>211</v>
      </c>
      <c r="P105" s="219"/>
      <c r="Q105" s="220"/>
      <c r="R105" s="156"/>
      <c r="S105" s="218" t="s">
        <v>212</v>
      </c>
      <c r="T105" s="220"/>
    </row>
    <row r="106" spans="1:20" ht="25.5">
      <c r="A106" s="112"/>
      <c r="B106" s="1494"/>
      <c r="C106" s="1496"/>
      <c r="D106" s="162" t="s">
        <v>99</v>
      </c>
      <c r="E106" s="163" t="s">
        <v>100</v>
      </c>
      <c r="F106" s="163" t="s">
        <v>101</v>
      </c>
      <c r="G106" s="163" t="s">
        <v>102</v>
      </c>
      <c r="H106" s="164" t="s">
        <v>64</v>
      </c>
      <c r="I106" s="165" t="s">
        <v>213</v>
      </c>
      <c r="J106" s="163" t="s">
        <v>214</v>
      </c>
      <c r="K106" s="163" t="s">
        <v>215</v>
      </c>
      <c r="L106" s="163" t="s">
        <v>216</v>
      </c>
      <c r="M106" s="164" t="s">
        <v>217</v>
      </c>
      <c r="N106" s="156"/>
      <c r="O106" s="221" t="s">
        <v>218</v>
      </c>
      <c r="P106" s="222" t="s">
        <v>219</v>
      </c>
      <c r="Q106" s="223" t="s">
        <v>220</v>
      </c>
      <c r="R106" s="156"/>
      <c r="S106" s="221" t="s">
        <v>219</v>
      </c>
      <c r="T106" s="223" t="s">
        <v>221</v>
      </c>
    </row>
    <row r="107" spans="1:20" ht="15.75" customHeight="1">
      <c r="A107" s="112"/>
      <c r="B107" s="246" t="s">
        <v>280</v>
      </c>
      <c r="C107" s="227"/>
      <c r="D107" s="168"/>
      <c r="E107" s="169"/>
      <c r="F107" s="169"/>
      <c r="G107" s="169"/>
      <c r="H107" s="170"/>
      <c r="I107" s="169"/>
      <c r="J107" s="169"/>
      <c r="K107" s="169"/>
      <c r="L107" s="169"/>
      <c r="M107" s="170"/>
      <c r="N107" s="156"/>
      <c r="O107" s="228"/>
      <c r="P107" s="229"/>
      <c r="Q107" s="230"/>
      <c r="R107" s="156"/>
      <c r="S107" s="168"/>
      <c r="T107" s="170"/>
    </row>
    <row r="108" spans="1:20" ht="15.75" customHeight="1">
      <c r="A108" s="112"/>
      <c r="B108" s="247" t="s">
        <v>266</v>
      </c>
      <c r="C108" s="201" t="s">
        <v>223</v>
      </c>
      <c r="D108" s="175">
        <v>16.454189202053584</v>
      </c>
      <c r="E108" s="176">
        <v>13.408060253480572</v>
      </c>
      <c r="F108" s="176">
        <v>19.877729970950064</v>
      </c>
      <c r="G108" s="176">
        <v>22.200910290170778</v>
      </c>
      <c r="H108" s="177">
        <v>12.173080534767006</v>
      </c>
      <c r="I108" s="176">
        <v>10.212314093716083</v>
      </c>
      <c r="J108" s="178">
        <v>11.475924489972815</v>
      </c>
      <c r="K108" s="178">
        <v>12.198922510036931</v>
      </c>
      <c r="L108" s="178">
        <v>12.898457804684517</v>
      </c>
      <c r="M108" s="177">
        <v>13.579851556834461</v>
      </c>
      <c r="N108" s="156"/>
      <c r="O108" s="135">
        <v>49.739979426484219</v>
      </c>
      <c r="P108" s="136">
        <v>34.373990824937785</v>
      </c>
      <c r="Q108" s="137">
        <v>84.113970251422003</v>
      </c>
      <c r="R108" s="156"/>
      <c r="S108" s="135">
        <v>60.365470455244811</v>
      </c>
      <c r="T108" s="137">
        <v>-0.28233716379326068</v>
      </c>
    </row>
    <row r="109" spans="1:20" ht="15.75" customHeight="1">
      <c r="A109" s="112"/>
      <c r="B109" s="247" t="s">
        <v>281</v>
      </c>
      <c r="C109" s="201" t="s">
        <v>223</v>
      </c>
      <c r="D109" s="175">
        <v>0</v>
      </c>
      <c r="E109" s="176">
        <v>0</v>
      </c>
      <c r="F109" s="176">
        <v>0</v>
      </c>
      <c r="G109" s="176">
        <v>0</v>
      </c>
      <c r="H109" s="177">
        <v>0</v>
      </c>
      <c r="I109" s="176">
        <v>0</v>
      </c>
      <c r="J109" s="178">
        <v>0</v>
      </c>
      <c r="K109" s="178">
        <v>0</v>
      </c>
      <c r="L109" s="178">
        <v>0</v>
      </c>
      <c r="M109" s="177">
        <v>0</v>
      </c>
      <c r="N109" s="156"/>
      <c r="O109" s="135">
        <v>0</v>
      </c>
      <c r="P109" s="136">
        <v>0</v>
      </c>
      <c r="Q109" s="137">
        <v>0</v>
      </c>
      <c r="R109" s="156"/>
      <c r="S109" s="135">
        <v>0</v>
      </c>
      <c r="T109" s="137" t="s">
        <v>1016</v>
      </c>
    </row>
    <row r="110" spans="1:20" ht="15.75" customHeight="1">
      <c r="A110" s="112"/>
      <c r="B110" s="248" t="s">
        <v>268</v>
      </c>
      <c r="C110" s="201" t="s">
        <v>223</v>
      </c>
      <c r="D110" s="135">
        <v>16.454189202053584</v>
      </c>
      <c r="E110" s="233">
        <v>13.408060253480572</v>
      </c>
      <c r="F110" s="233">
        <v>19.877729970950064</v>
      </c>
      <c r="G110" s="233">
        <v>22.200910290170778</v>
      </c>
      <c r="H110" s="137">
        <v>12.173080534767006</v>
      </c>
      <c r="I110" s="233">
        <v>10.212314093716083</v>
      </c>
      <c r="J110" s="136">
        <v>11.475924489972815</v>
      </c>
      <c r="K110" s="136">
        <v>12.198922510036931</v>
      </c>
      <c r="L110" s="136">
        <v>12.898457804684517</v>
      </c>
      <c r="M110" s="137">
        <v>13.579851556834461</v>
      </c>
      <c r="N110" s="156"/>
      <c r="O110" s="135">
        <v>49.739979426484219</v>
      </c>
      <c r="P110" s="136">
        <v>34.373990824937785</v>
      </c>
      <c r="Q110" s="137">
        <v>84.113970251422003</v>
      </c>
      <c r="R110" s="156"/>
      <c r="S110" s="135">
        <v>60.365470455244811</v>
      </c>
      <c r="T110" s="137">
        <v>-0.28233716379326068</v>
      </c>
    </row>
    <row r="111" spans="1:20" ht="15.75" customHeight="1">
      <c r="A111" s="112"/>
      <c r="B111" s="246" t="s">
        <v>282</v>
      </c>
      <c r="C111" s="234"/>
      <c r="D111" s="235"/>
      <c r="E111" s="236"/>
      <c r="F111" s="236"/>
      <c r="G111" s="236"/>
      <c r="H111" s="237"/>
      <c r="I111" s="236"/>
      <c r="J111" s="236"/>
      <c r="K111" s="236"/>
      <c r="L111" s="236"/>
      <c r="M111" s="237"/>
      <c r="N111" s="156"/>
      <c r="O111" s="238"/>
      <c r="P111" s="236"/>
      <c r="Q111" s="237"/>
      <c r="R111" s="156"/>
      <c r="S111" s="235"/>
      <c r="T111" s="237"/>
    </row>
    <row r="112" spans="1:20" ht="15.75" customHeight="1">
      <c r="A112" s="112"/>
      <c r="B112" s="247" t="s">
        <v>266</v>
      </c>
      <c r="C112" s="201" t="s">
        <v>223</v>
      </c>
      <c r="D112" s="175">
        <v>10.337</v>
      </c>
      <c r="E112" s="176">
        <v>9.9369999999999994</v>
      </c>
      <c r="F112" s="176">
        <v>7.8449999999999998</v>
      </c>
      <c r="G112" s="176">
        <v>3.5379999999999998</v>
      </c>
      <c r="H112" s="177">
        <v>5.4220000000000006</v>
      </c>
      <c r="I112" s="176">
        <v>4.6254092667227171</v>
      </c>
      <c r="J112" s="178">
        <v>5.4997761504830747</v>
      </c>
      <c r="K112" s="178">
        <v>5.8452632537149185</v>
      </c>
      <c r="L112" s="178">
        <v>6.2351543673932746</v>
      </c>
      <c r="M112" s="177">
        <v>6.6648236166242345</v>
      </c>
      <c r="N112" s="156"/>
      <c r="O112" s="135">
        <v>28.119</v>
      </c>
      <c r="P112" s="136">
        <v>8.9600000000000009</v>
      </c>
      <c r="Q112" s="137">
        <v>37.079000000000001</v>
      </c>
      <c r="R112" s="156"/>
      <c r="S112" s="135">
        <v>28.870426654938221</v>
      </c>
      <c r="T112" s="137">
        <v>-0.22138065603338222</v>
      </c>
    </row>
    <row r="113" spans="1:20" ht="15.75" customHeight="1">
      <c r="A113" s="112"/>
      <c r="B113" s="247" t="s">
        <v>281</v>
      </c>
      <c r="C113" s="201" t="s">
        <v>223</v>
      </c>
      <c r="D113" s="175">
        <v>0</v>
      </c>
      <c r="E113" s="176">
        <v>0</v>
      </c>
      <c r="F113" s="176">
        <v>0</v>
      </c>
      <c r="G113" s="176">
        <v>0</v>
      </c>
      <c r="H113" s="177">
        <v>0</v>
      </c>
      <c r="I113" s="176">
        <v>0</v>
      </c>
      <c r="J113" s="178">
        <v>0</v>
      </c>
      <c r="K113" s="178">
        <v>0</v>
      </c>
      <c r="L113" s="178">
        <v>0</v>
      </c>
      <c r="M113" s="177">
        <v>0</v>
      </c>
      <c r="N113" s="156"/>
      <c r="O113" s="135">
        <v>0</v>
      </c>
      <c r="P113" s="136">
        <v>0</v>
      </c>
      <c r="Q113" s="137">
        <v>0</v>
      </c>
      <c r="R113" s="156"/>
      <c r="S113" s="135">
        <v>0</v>
      </c>
      <c r="T113" s="137" t="s">
        <v>1016</v>
      </c>
    </row>
    <row r="114" spans="1:20" ht="15.75" customHeight="1">
      <c r="A114" s="112"/>
      <c r="B114" s="248" t="s">
        <v>270</v>
      </c>
      <c r="C114" s="201" t="s">
        <v>223</v>
      </c>
      <c r="D114" s="135">
        <v>10.337</v>
      </c>
      <c r="E114" s="233">
        <v>9.9369999999999994</v>
      </c>
      <c r="F114" s="233">
        <v>7.8449999999999998</v>
      </c>
      <c r="G114" s="233">
        <v>3.5379999999999998</v>
      </c>
      <c r="H114" s="137">
        <v>5.4220000000000006</v>
      </c>
      <c r="I114" s="233">
        <v>4.6254092667227171</v>
      </c>
      <c r="J114" s="136">
        <v>5.4997761504830747</v>
      </c>
      <c r="K114" s="136">
        <v>5.8452632537149185</v>
      </c>
      <c r="L114" s="136">
        <v>6.2351543673932746</v>
      </c>
      <c r="M114" s="137">
        <v>6.6648236166242345</v>
      </c>
      <c r="N114" s="156"/>
      <c r="O114" s="135">
        <v>28.119</v>
      </c>
      <c r="P114" s="136">
        <v>8.9600000000000009</v>
      </c>
      <c r="Q114" s="137">
        <v>37.079000000000001</v>
      </c>
      <c r="R114" s="156"/>
      <c r="S114" s="135">
        <v>28.870426654938221</v>
      </c>
      <c r="T114" s="137">
        <v>-0.22138065603338222</v>
      </c>
    </row>
    <row r="115" spans="1:20" ht="15.75" customHeight="1">
      <c r="A115" s="112"/>
      <c r="B115" s="246" t="s">
        <v>283</v>
      </c>
      <c r="C115" s="234"/>
      <c r="D115" s="235"/>
      <c r="E115" s="236"/>
      <c r="F115" s="236"/>
      <c r="G115" s="236"/>
      <c r="H115" s="237"/>
      <c r="I115" s="236"/>
      <c r="J115" s="236"/>
      <c r="K115" s="236"/>
      <c r="L115" s="236"/>
      <c r="M115" s="237"/>
      <c r="N115" s="156"/>
      <c r="O115" s="235"/>
      <c r="P115" s="236"/>
      <c r="Q115" s="237"/>
      <c r="R115" s="156"/>
      <c r="S115" s="235"/>
      <c r="T115" s="237"/>
    </row>
    <row r="116" spans="1:20" ht="15.75" customHeight="1">
      <c r="A116" s="112"/>
      <c r="B116" s="247" t="s">
        <v>266</v>
      </c>
      <c r="C116" s="201" t="s">
        <v>223</v>
      </c>
      <c r="D116" s="175">
        <v>0.97216189050392954</v>
      </c>
      <c r="E116" s="176">
        <v>0</v>
      </c>
      <c r="F116" s="176">
        <v>0</v>
      </c>
      <c r="G116" s="176">
        <v>0</v>
      </c>
      <c r="H116" s="177">
        <v>0</v>
      </c>
      <c r="I116" s="176">
        <v>6.5662346599999992</v>
      </c>
      <c r="J116" s="178">
        <v>5.9365957199999997</v>
      </c>
      <c r="K116" s="178">
        <v>6.3863378199999996</v>
      </c>
      <c r="L116" s="178">
        <v>4.5873694199999999</v>
      </c>
      <c r="M116" s="177">
        <v>5.3969052</v>
      </c>
      <c r="N116" s="156"/>
      <c r="O116" s="135">
        <v>0.97216189050392954</v>
      </c>
      <c r="P116" s="136">
        <v>0</v>
      </c>
      <c r="Q116" s="137">
        <v>0.97216189050392954</v>
      </c>
      <c r="R116" s="156"/>
      <c r="S116" s="135">
        <v>28.873442820000001</v>
      </c>
      <c r="T116" s="137">
        <v>28.700241391928223</v>
      </c>
    </row>
    <row r="117" spans="1:20" ht="15.75" customHeight="1">
      <c r="A117" s="112"/>
      <c r="B117" s="247" t="s">
        <v>281</v>
      </c>
      <c r="C117" s="201" t="s">
        <v>223</v>
      </c>
      <c r="D117" s="175">
        <v>0</v>
      </c>
      <c r="E117" s="176">
        <v>0</v>
      </c>
      <c r="F117" s="176">
        <v>0</v>
      </c>
      <c r="G117" s="176">
        <v>0</v>
      </c>
      <c r="H117" s="177">
        <v>0</v>
      </c>
      <c r="I117" s="176">
        <v>0</v>
      </c>
      <c r="J117" s="178">
        <v>0</v>
      </c>
      <c r="K117" s="178">
        <v>0</v>
      </c>
      <c r="L117" s="178">
        <v>0</v>
      </c>
      <c r="M117" s="177">
        <v>0</v>
      </c>
      <c r="N117" s="156"/>
      <c r="O117" s="135">
        <v>0</v>
      </c>
      <c r="P117" s="136">
        <v>0</v>
      </c>
      <c r="Q117" s="137">
        <v>0</v>
      </c>
      <c r="R117" s="156"/>
      <c r="S117" s="135">
        <v>0</v>
      </c>
      <c r="T117" s="137" t="s">
        <v>1016</v>
      </c>
    </row>
    <row r="118" spans="1:20" ht="15.75" customHeight="1">
      <c r="A118" s="112"/>
      <c r="B118" s="248" t="s">
        <v>272</v>
      </c>
      <c r="C118" s="201" t="s">
        <v>223</v>
      </c>
      <c r="D118" s="135">
        <v>0.97216189050392954</v>
      </c>
      <c r="E118" s="233">
        <v>0</v>
      </c>
      <c r="F118" s="233">
        <v>0</v>
      </c>
      <c r="G118" s="233">
        <v>0</v>
      </c>
      <c r="H118" s="137">
        <v>0</v>
      </c>
      <c r="I118" s="233">
        <v>6.5662346599999992</v>
      </c>
      <c r="J118" s="136">
        <v>5.9365957199999997</v>
      </c>
      <c r="K118" s="136">
        <v>6.3863378199999996</v>
      </c>
      <c r="L118" s="136">
        <v>4.5873694199999999</v>
      </c>
      <c r="M118" s="137">
        <v>5.3969052</v>
      </c>
      <c r="N118" s="156"/>
      <c r="O118" s="135">
        <v>0.97216189050392954</v>
      </c>
      <c r="P118" s="136">
        <v>0</v>
      </c>
      <c r="Q118" s="137">
        <v>0.97216189050392954</v>
      </c>
      <c r="R118" s="156"/>
      <c r="S118" s="135">
        <v>28.873442820000001</v>
      </c>
      <c r="T118" s="137">
        <v>28.700241391928223</v>
      </c>
    </row>
    <row r="119" spans="1:20" ht="15.75" customHeight="1">
      <c r="A119" s="112"/>
      <c r="B119" s="246" t="s">
        <v>284</v>
      </c>
      <c r="C119" s="234"/>
      <c r="D119" s="235"/>
      <c r="E119" s="236"/>
      <c r="F119" s="236"/>
      <c r="G119" s="236"/>
      <c r="H119" s="237"/>
      <c r="I119" s="236"/>
      <c r="J119" s="236"/>
      <c r="K119" s="236"/>
      <c r="L119" s="236"/>
      <c r="M119" s="237"/>
      <c r="N119" s="156"/>
      <c r="O119" s="235"/>
      <c r="P119" s="236"/>
      <c r="Q119" s="237"/>
      <c r="R119" s="156"/>
      <c r="S119" s="235"/>
      <c r="T119" s="237"/>
    </row>
    <row r="120" spans="1:20" ht="15.75" customHeight="1">
      <c r="A120" s="112"/>
      <c r="B120" s="247" t="s">
        <v>266</v>
      </c>
      <c r="C120" s="201" t="s">
        <v>223</v>
      </c>
      <c r="D120" s="175">
        <v>0</v>
      </c>
      <c r="E120" s="176">
        <v>0</v>
      </c>
      <c r="F120" s="176">
        <v>0</v>
      </c>
      <c r="G120" s="176">
        <v>0</v>
      </c>
      <c r="H120" s="177">
        <v>0</v>
      </c>
      <c r="I120" s="176">
        <v>0</v>
      </c>
      <c r="J120" s="178">
        <v>0</v>
      </c>
      <c r="K120" s="178">
        <v>0</v>
      </c>
      <c r="L120" s="178">
        <v>0</v>
      </c>
      <c r="M120" s="177">
        <v>0</v>
      </c>
      <c r="N120" s="156"/>
      <c r="O120" s="135">
        <v>0</v>
      </c>
      <c r="P120" s="136">
        <v>0</v>
      </c>
      <c r="Q120" s="137">
        <v>0</v>
      </c>
      <c r="R120" s="156"/>
      <c r="S120" s="135">
        <v>0</v>
      </c>
      <c r="T120" s="137" t="s">
        <v>1016</v>
      </c>
    </row>
    <row r="121" spans="1:20" ht="15.75" customHeight="1">
      <c r="A121" s="112"/>
      <c r="B121" s="247" t="s">
        <v>281</v>
      </c>
      <c r="C121" s="201" t="s">
        <v>223</v>
      </c>
      <c r="D121" s="175">
        <v>0</v>
      </c>
      <c r="E121" s="176">
        <v>0</v>
      </c>
      <c r="F121" s="176">
        <v>0</v>
      </c>
      <c r="G121" s="176">
        <v>0</v>
      </c>
      <c r="H121" s="177">
        <v>0</v>
      </c>
      <c r="I121" s="176">
        <v>0</v>
      </c>
      <c r="J121" s="178">
        <v>0</v>
      </c>
      <c r="K121" s="178">
        <v>0</v>
      </c>
      <c r="L121" s="178">
        <v>0</v>
      </c>
      <c r="M121" s="177">
        <v>0</v>
      </c>
      <c r="N121" s="156"/>
      <c r="O121" s="135">
        <v>0</v>
      </c>
      <c r="P121" s="136">
        <v>0</v>
      </c>
      <c r="Q121" s="137">
        <v>0</v>
      </c>
      <c r="R121" s="156"/>
      <c r="S121" s="135">
        <v>0</v>
      </c>
      <c r="T121" s="137" t="s">
        <v>1016</v>
      </c>
    </row>
    <row r="122" spans="1:20" ht="15.75" customHeight="1">
      <c r="A122" s="112"/>
      <c r="B122" s="248" t="s">
        <v>274</v>
      </c>
      <c r="C122" s="201" t="s">
        <v>223</v>
      </c>
      <c r="D122" s="135">
        <v>0</v>
      </c>
      <c r="E122" s="233">
        <v>0</v>
      </c>
      <c r="F122" s="233">
        <v>0</v>
      </c>
      <c r="G122" s="233">
        <v>0</v>
      </c>
      <c r="H122" s="137">
        <v>0</v>
      </c>
      <c r="I122" s="233">
        <v>0</v>
      </c>
      <c r="J122" s="136">
        <v>0</v>
      </c>
      <c r="K122" s="136">
        <v>0</v>
      </c>
      <c r="L122" s="136">
        <v>0</v>
      </c>
      <c r="M122" s="137">
        <v>0</v>
      </c>
      <c r="N122" s="156"/>
      <c r="O122" s="135">
        <v>0</v>
      </c>
      <c r="P122" s="136">
        <v>0</v>
      </c>
      <c r="Q122" s="137">
        <v>0</v>
      </c>
      <c r="R122" s="156"/>
      <c r="S122" s="135">
        <v>0</v>
      </c>
      <c r="T122" s="137" t="s">
        <v>1016</v>
      </c>
    </row>
    <row r="123" spans="1:20" ht="15.75" customHeight="1">
      <c r="A123" s="112"/>
      <c r="B123" s="232"/>
      <c r="C123" s="201"/>
      <c r="D123" s="235"/>
      <c r="E123" s="236"/>
      <c r="F123" s="236"/>
      <c r="G123" s="236"/>
      <c r="H123" s="237"/>
      <c r="I123" s="236"/>
      <c r="J123" s="236"/>
      <c r="K123" s="236"/>
      <c r="L123" s="236"/>
      <c r="M123" s="237"/>
      <c r="N123" s="156"/>
      <c r="O123" s="235"/>
      <c r="P123" s="236"/>
      <c r="Q123" s="237"/>
      <c r="R123" s="156"/>
      <c r="S123" s="235"/>
      <c r="T123" s="237"/>
    </row>
    <row r="124" spans="1:20" ht="15.75" customHeight="1">
      <c r="A124" s="112"/>
      <c r="B124" s="246" t="s">
        <v>285</v>
      </c>
      <c r="C124" s="172" t="s">
        <v>223</v>
      </c>
      <c r="D124" s="145">
        <v>27.763351092557514</v>
      </c>
      <c r="E124" s="145">
        <v>23.345060253480572</v>
      </c>
      <c r="F124" s="145">
        <v>27.722729970950063</v>
      </c>
      <c r="G124" s="145">
        <v>25.738910290170779</v>
      </c>
      <c r="H124" s="144">
        <v>17.595080534767007</v>
      </c>
      <c r="I124" s="145">
        <v>21.4039580204388</v>
      </c>
      <c r="J124" s="143">
        <v>22.91229636045589</v>
      </c>
      <c r="K124" s="143">
        <v>24.43052358375185</v>
      </c>
      <c r="L124" s="143">
        <v>23.720981592077791</v>
      </c>
      <c r="M124" s="144">
        <v>25.641580373458694</v>
      </c>
      <c r="N124" s="194"/>
      <c r="O124" s="142">
        <v>78.831141316988138</v>
      </c>
      <c r="P124" s="143">
        <v>43.333990824937786</v>
      </c>
      <c r="Q124" s="144">
        <v>122.16513214192592</v>
      </c>
      <c r="R124" s="194"/>
      <c r="S124" s="142">
        <v>118.10933993018304</v>
      </c>
      <c r="T124" s="144">
        <v>-3.3199261856738688E-2</v>
      </c>
    </row>
    <row r="125" spans="1:20" ht="15.75" customHeight="1">
      <c r="A125" s="112"/>
      <c r="B125" s="246" t="s">
        <v>286</v>
      </c>
      <c r="C125" s="172" t="s">
        <v>223</v>
      </c>
      <c r="D125" s="175">
        <v>6.2920477913171</v>
      </c>
      <c r="E125" s="176">
        <v>6.4160000000000004</v>
      </c>
      <c r="F125" s="176">
        <v>6.4160000000000004</v>
      </c>
      <c r="G125" s="176">
        <v>8.0922981202560091</v>
      </c>
      <c r="H125" s="177">
        <v>8.126499979632225</v>
      </c>
      <c r="I125" s="176">
        <v>8.1134060112064628</v>
      </c>
      <c r="J125" s="178">
        <v>8.0884840842519772</v>
      </c>
      <c r="K125" s="178">
        <v>8.0779178501221196</v>
      </c>
      <c r="L125" s="178">
        <v>8.093669302825969</v>
      </c>
      <c r="M125" s="177">
        <v>8.103426115462808</v>
      </c>
      <c r="N125" s="194"/>
      <c r="O125" s="142">
        <v>19.1240477913171</v>
      </c>
      <c r="P125" s="143">
        <v>16.218798099888232</v>
      </c>
      <c r="Q125" s="144">
        <v>35.342845891205329</v>
      </c>
      <c r="R125" s="194"/>
      <c r="S125" s="142">
        <v>40.47690336386934</v>
      </c>
      <c r="T125" s="144">
        <v>0.14526440480961847</v>
      </c>
    </row>
    <row r="126" spans="1:20" ht="15.75" customHeight="1">
      <c r="A126" s="112"/>
      <c r="B126" s="246" t="s">
        <v>287</v>
      </c>
      <c r="C126" s="172" t="s">
        <v>223</v>
      </c>
      <c r="D126" s="142">
        <v>34.055398883874616</v>
      </c>
      <c r="E126" s="145">
        <v>29.761060253480572</v>
      </c>
      <c r="F126" s="145">
        <v>34.138729970950067</v>
      </c>
      <c r="G126" s="145">
        <v>33.83120841042679</v>
      </c>
      <c r="H126" s="144">
        <v>25.721580514399232</v>
      </c>
      <c r="I126" s="145">
        <v>29.517364031645265</v>
      </c>
      <c r="J126" s="143">
        <v>31.000780444707868</v>
      </c>
      <c r="K126" s="143">
        <v>32.508441433873969</v>
      </c>
      <c r="L126" s="143">
        <v>31.81465089490376</v>
      </c>
      <c r="M126" s="144">
        <v>33.745006488921504</v>
      </c>
      <c r="N126" s="194"/>
      <c r="O126" s="142">
        <v>97.955189108305234</v>
      </c>
      <c r="P126" s="143">
        <v>59.552788924826018</v>
      </c>
      <c r="Q126" s="144">
        <v>157.50797803313125</v>
      </c>
      <c r="R126" s="194"/>
      <c r="S126" s="142">
        <v>158.58624329405237</v>
      </c>
      <c r="T126" s="144">
        <v>6.8457818733112345E-3</v>
      </c>
    </row>
    <row r="127" spans="1:20" ht="15.75" customHeight="1">
      <c r="A127" s="112"/>
      <c r="B127" s="246"/>
      <c r="C127" s="180"/>
      <c r="D127" s="228"/>
      <c r="E127" s="229"/>
      <c r="F127" s="229"/>
      <c r="G127" s="229"/>
      <c r="H127" s="230"/>
      <c r="I127" s="229"/>
      <c r="J127" s="229"/>
      <c r="K127" s="229"/>
      <c r="L127" s="229"/>
      <c r="M127" s="230"/>
      <c r="N127" s="156"/>
      <c r="O127" s="235"/>
      <c r="P127" s="236"/>
      <c r="Q127" s="237"/>
      <c r="R127" s="156"/>
      <c r="S127" s="235"/>
      <c r="T127" s="237"/>
    </row>
    <row r="128" spans="1:20" ht="15.75" customHeight="1" thickBot="1">
      <c r="A128" s="112"/>
      <c r="B128" s="249" t="s">
        <v>288</v>
      </c>
      <c r="C128" s="193" t="s">
        <v>223</v>
      </c>
      <c r="D128" s="151">
        <v>-5.8249533551898018</v>
      </c>
      <c r="E128" s="151">
        <v>-6.2478575176208402</v>
      </c>
      <c r="F128" s="151">
        <v>-2.100000000000005</v>
      </c>
      <c r="G128" s="151">
        <v>-2.5610672559542991</v>
      </c>
      <c r="H128" s="150">
        <v>-4.5162993484821321</v>
      </c>
      <c r="I128" s="151">
        <v>-3.8604445969826457</v>
      </c>
      <c r="J128" s="149">
        <v>-3.3882719124566982</v>
      </c>
      <c r="K128" s="149">
        <v>-3.0518027506828851</v>
      </c>
      <c r="L128" s="149">
        <v>-3.0270291994303378</v>
      </c>
      <c r="M128" s="150">
        <v>-2.6869898855833299</v>
      </c>
      <c r="N128" s="194"/>
      <c r="O128" s="148">
        <v>-14.172810872810647</v>
      </c>
      <c r="P128" s="149">
        <v>-7.0773666044364312</v>
      </c>
      <c r="Q128" s="150">
        <v>-21.250177477247078</v>
      </c>
      <c r="R128" s="194"/>
      <c r="S128" s="148">
        <v>-16.014538345135897</v>
      </c>
      <c r="T128" s="150">
        <v>-0.24638096023984121</v>
      </c>
    </row>
    <row r="129" spans="1:20">
      <c r="A129" s="112"/>
      <c r="B129" s="112"/>
      <c r="C129" s="113"/>
      <c r="D129" s="108"/>
      <c r="E129" s="108"/>
      <c r="F129" s="108"/>
      <c r="G129" s="108"/>
      <c r="H129" s="108"/>
      <c r="I129" s="108"/>
      <c r="J129" s="108"/>
      <c r="K129" s="108"/>
      <c r="L129" s="108"/>
      <c r="M129" s="108"/>
      <c r="N129" s="108"/>
      <c r="O129" s="108"/>
      <c r="P129" s="108"/>
      <c r="Q129" s="108"/>
      <c r="R129" s="108"/>
      <c r="S129" s="108"/>
      <c r="T129" s="108"/>
    </row>
    <row r="130" spans="1:20" ht="13.5" thickBot="1">
      <c r="A130" s="112"/>
      <c r="B130" s="112"/>
      <c r="C130" s="113"/>
      <c r="D130" s="108"/>
      <c r="E130" s="108"/>
      <c r="F130" s="108"/>
      <c r="G130" s="108"/>
      <c r="H130" s="108"/>
      <c r="I130" s="108"/>
      <c r="J130" s="108"/>
      <c r="K130" s="108"/>
      <c r="L130" s="108"/>
      <c r="M130" s="108"/>
      <c r="N130" s="108"/>
      <c r="O130" s="108"/>
      <c r="P130" s="108"/>
      <c r="Q130" s="108"/>
      <c r="R130" s="108"/>
      <c r="S130" s="108"/>
      <c r="T130" s="108"/>
    </row>
    <row r="131" spans="1:20">
      <c r="A131" s="112"/>
      <c r="B131" s="1497"/>
      <c r="C131" s="1495" t="s">
        <v>210</v>
      </c>
      <c r="D131" s="158" t="s">
        <v>211</v>
      </c>
      <c r="E131" s="159"/>
      <c r="F131" s="159"/>
      <c r="G131" s="159"/>
      <c r="H131" s="160"/>
      <c r="I131" s="159" t="s">
        <v>212</v>
      </c>
      <c r="J131" s="161"/>
      <c r="K131" s="161"/>
      <c r="L131" s="161"/>
      <c r="M131" s="160"/>
      <c r="N131" s="156"/>
      <c r="O131" s="218" t="s">
        <v>211</v>
      </c>
      <c r="P131" s="219"/>
      <c r="Q131" s="220"/>
      <c r="R131" s="156"/>
      <c r="S131" s="218" t="s">
        <v>212</v>
      </c>
      <c r="T131" s="220"/>
    </row>
    <row r="132" spans="1:20" ht="25.5">
      <c r="A132" s="112"/>
      <c r="B132" s="1498"/>
      <c r="C132" s="1496"/>
      <c r="D132" s="162" t="s">
        <v>99</v>
      </c>
      <c r="E132" s="163" t="s">
        <v>100</v>
      </c>
      <c r="F132" s="163" t="s">
        <v>101</v>
      </c>
      <c r="G132" s="163" t="s">
        <v>102</v>
      </c>
      <c r="H132" s="164" t="s">
        <v>64</v>
      </c>
      <c r="I132" s="165" t="s">
        <v>213</v>
      </c>
      <c r="J132" s="163" t="s">
        <v>214</v>
      </c>
      <c r="K132" s="163" t="s">
        <v>215</v>
      </c>
      <c r="L132" s="163" t="s">
        <v>216</v>
      </c>
      <c r="M132" s="164" t="s">
        <v>217</v>
      </c>
      <c r="N132" s="156"/>
      <c r="O132" s="221" t="s">
        <v>218</v>
      </c>
      <c r="P132" s="222" t="s">
        <v>219</v>
      </c>
      <c r="Q132" s="223" t="s">
        <v>220</v>
      </c>
      <c r="R132" s="156"/>
      <c r="S132" s="221" t="s">
        <v>219</v>
      </c>
      <c r="T132" s="223" t="s">
        <v>221</v>
      </c>
    </row>
    <row r="133" spans="1:20" s="111" customFormat="1" ht="15.75" customHeight="1">
      <c r="A133" s="105"/>
      <c r="B133" s="250" t="s">
        <v>289</v>
      </c>
      <c r="C133" s="251" t="s">
        <v>223</v>
      </c>
      <c r="D133" s="131">
        <v>-0.65418920205358511</v>
      </c>
      <c r="E133" s="132">
        <v>-1.1080602534805717</v>
      </c>
      <c r="F133" s="132">
        <v>2.4222700290499368</v>
      </c>
      <c r="G133" s="132">
        <v>4.2990897098292216</v>
      </c>
      <c r="H133" s="133">
        <v>1.6939999999999991</v>
      </c>
      <c r="I133" s="132">
        <v>1.3275388873901601</v>
      </c>
      <c r="J133" s="134">
        <v>1.3266267697939611</v>
      </c>
      <c r="K133" s="134">
        <v>1.4947078164663719</v>
      </c>
      <c r="L133" s="134">
        <v>1.5189819640777991</v>
      </c>
      <c r="M133" s="133">
        <v>1.6569870676662948</v>
      </c>
      <c r="N133" s="108"/>
      <c r="O133" s="252">
        <v>0.66002057351578003</v>
      </c>
      <c r="P133" s="253">
        <v>5.9930897098292206</v>
      </c>
      <c r="Q133" s="254">
        <v>6.6531102833450007</v>
      </c>
      <c r="R133" s="110"/>
      <c r="S133" s="252">
        <v>7.3248425053945869</v>
      </c>
      <c r="T133" s="254">
        <v>0.10096514163175088</v>
      </c>
    </row>
    <row r="134" spans="1:20" s="111" customFormat="1" ht="15.75" customHeight="1">
      <c r="A134" s="105"/>
      <c r="B134" s="250" t="s">
        <v>290</v>
      </c>
      <c r="C134" s="251" t="s">
        <v>223</v>
      </c>
      <c r="D134" s="138">
        <v>1.463000000000001</v>
      </c>
      <c r="E134" s="139">
        <v>1.463000000000001</v>
      </c>
      <c r="F134" s="139">
        <v>1.1550000000000002</v>
      </c>
      <c r="G134" s="139">
        <v>0.46200000000000019</v>
      </c>
      <c r="H134" s="140">
        <v>1.0779999999999994</v>
      </c>
      <c r="I134" s="139">
        <v>1.4551377521710389</v>
      </c>
      <c r="J134" s="141">
        <v>1.9341462497319073</v>
      </c>
      <c r="K134" s="141">
        <v>1.9282567535890163</v>
      </c>
      <c r="L134" s="141">
        <v>2.0041456704419307</v>
      </c>
      <c r="M134" s="140">
        <v>2.0980784318605838</v>
      </c>
      <c r="N134" s="108"/>
      <c r="O134" s="135">
        <v>4.0810000000000022</v>
      </c>
      <c r="P134" s="136">
        <v>1.5399999999999996</v>
      </c>
      <c r="Q134" s="137">
        <v>5.6210000000000022</v>
      </c>
      <c r="R134" s="110"/>
      <c r="S134" s="135">
        <v>9.4197648577944761</v>
      </c>
      <c r="T134" s="137">
        <v>0.67581655538062135</v>
      </c>
    </row>
    <row r="135" spans="1:20" s="111" customFormat="1" ht="15.75" customHeight="1">
      <c r="A135" s="105"/>
      <c r="B135" s="250" t="s">
        <v>291</v>
      </c>
      <c r="C135" s="251" t="s">
        <v>223</v>
      </c>
      <c r="D135" s="138">
        <v>0</v>
      </c>
      <c r="E135" s="139">
        <v>0</v>
      </c>
      <c r="F135" s="139">
        <v>0</v>
      </c>
      <c r="G135" s="139">
        <v>0</v>
      </c>
      <c r="H135" s="140">
        <v>0</v>
      </c>
      <c r="I135" s="139">
        <v>0.7337653400000006</v>
      </c>
      <c r="J135" s="141">
        <v>0.66340427999999996</v>
      </c>
      <c r="K135" s="141">
        <v>0.71366217999999915</v>
      </c>
      <c r="L135" s="141">
        <v>0.51263057999999972</v>
      </c>
      <c r="M135" s="140">
        <v>0.60309480000000004</v>
      </c>
      <c r="N135" s="108"/>
      <c r="O135" s="135">
        <v>0</v>
      </c>
      <c r="P135" s="136">
        <v>0</v>
      </c>
      <c r="Q135" s="137">
        <v>0</v>
      </c>
      <c r="R135" s="110"/>
      <c r="S135" s="135">
        <v>3.2265571799999995</v>
      </c>
      <c r="T135" s="137" t="s">
        <v>1016</v>
      </c>
    </row>
    <row r="136" spans="1:20" s="111" customFormat="1" ht="15.75" customHeight="1" thickBot="1">
      <c r="A136" s="105"/>
      <c r="B136" s="255" t="s">
        <v>292</v>
      </c>
      <c r="C136" s="256" t="s">
        <v>223</v>
      </c>
      <c r="D136" s="257">
        <v>0</v>
      </c>
      <c r="E136" s="258">
        <v>0</v>
      </c>
      <c r="F136" s="258">
        <v>0</v>
      </c>
      <c r="G136" s="258">
        <v>0</v>
      </c>
      <c r="H136" s="259">
        <v>0</v>
      </c>
      <c r="I136" s="258">
        <v>0</v>
      </c>
      <c r="J136" s="260">
        <v>0</v>
      </c>
      <c r="K136" s="260">
        <v>0</v>
      </c>
      <c r="L136" s="260">
        <v>0</v>
      </c>
      <c r="M136" s="259">
        <v>0</v>
      </c>
      <c r="N136" s="108"/>
      <c r="O136" s="152">
        <v>0</v>
      </c>
      <c r="P136" s="153">
        <v>0</v>
      </c>
      <c r="Q136" s="154">
        <v>0</v>
      </c>
      <c r="R136" s="110"/>
      <c r="S136" s="152">
        <v>0</v>
      </c>
      <c r="T136" s="154" t="s">
        <v>1016</v>
      </c>
    </row>
    <row r="137" spans="1:20">
      <c r="A137" s="261"/>
      <c r="B137" s="262"/>
      <c r="C137" s="263"/>
      <c r="D137" s="264"/>
      <c r="E137" s="264"/>
      <c r="F137" s="264"/>
      <c r="G137" s="264"/>
      <c r="H137" s="264"/>
      <c r="I137" s="264"/>
      <c r="J137" s="264"/>
      <c r="K137" s="264"/>
      <c r="L137" s="264"/>
      <c r="M137" s="264"/>
      <c r="N137" s="264"/>
      <c r="O137" s="107"/>
      <c r="P137" s="107"/>
      <c r="Q137" s="107"/>
      <c r="R137" s="107"/>
      <c r="S137" s="107"/>
      <c r="T137" s="107"/>
    </row>
    <row r="138" spans="1:20">
      <c r="A138" s="112"/>
      <c r="B138" s="112"/>
      <c r="C138" s="113"/>
      <c r="D138" s="107"/>
      <c r="E138" s="107"/>
      <c r="F138" s="107"/>
      <c r="G138" s="107"/>
      <c r="H138" s="107"/>
      <c r="I138" s="107"/>
      <c r="J138" s="107"/>
      <c r="K138" s="107"/>
      <c r="L138" s="107"/>
      <c r="M138" s="107"/>
      <c r="N138" s="107"/>
      <c r="O138" s="107"/>
      <c r="P138" s="107"/>
      <c r="Q138" s="107"/>
      <c r="R138" s="107"/>
      <c r="S138" s="107"/>
      <c r="T138" s="107"/>
    </row>
    <row r="139" spans="1:20">
      <c r="A139" s="112"/>
      <c r="B139" s="112"/>
      <c r="C139" s="113"/>
      <c r="D139" s="107"/>
      <c r="E139" s="107"/>
      <c r="F139" s="107"/>
      <c r="G139" s="107"/>
      <c r="H139" s="107"/>
      <c r="I139" s="107"/>
      <c r="J139" s="107"/>
      <c r="K139" s="107"/>
      <c r="L139" s="107"/>
      <c r="M139" s="107"/>
      <c r="N139" s="107"/>
      <c r="O139" s="107"/>
      <c r="P139" s="107"/>
      <c r="Q139" s="107"/>
      <c r="R139" s="107"/>
      <c r="S139" s="107"/>
      <c r="T139" s="107"/>
    </row>
    <row r="140" spans="1:20">
      <c r="A140" s="112"/>
      <c r="B140" s="112"/>
      <c r="C140" s="113"/>
      <c r="D140" s="107"/>
      <c r="E140" s="107"/>
      <c r="F140" s="107"/>
      <c r="G140" s="107"/>
      <c r="H140" s="107"/>
      <c r="I140" s="107"/>
      <c r="J140" s="107"/>
      <c r="K140" s="107"/>
      <c r="L140" s="107"/>
      <c r="M140" s="107"/>
      <c r="N140" s="107"/>
      <c r="O140" s="107"/>
      <c r="P140" s="107"/>
      <c r="Q140" s="107"/>
      <c r="R140" s="107"/>
      <c r="S140" s="107"/>
      <c r="T140" s="107"/>
    </row>
    <row r="141" spans="1:20">
      <c r="A141" s="112"/>
      <c r="B141" s="112"/>
      <c r="C141" s="113"/>
      <c r="D141" s="107"/>
      <c r="E141" s="107"/>
      <c r="F141" s="107"/>
      <c r="G141" s="107"/>
      <c r="H141" s="107"/>
      <c r="I141" s="107"/>
      <c r="J141" s="107"/>
      <c r="K141" s="107"/>
      <c r="L141" s="107"/>
      <c r="M141" s="107"/>
      <c r="N141" s="107"/>
      <c r="O141" s="107"/>
      <c r="P141" s="107"/>
      <c r="Q141" s="107"/>
      <c r="R141" s="107"/>
      <c r="S141" s="107"/>
      <c r="T141" s="107"/>
    </row>
    <row r="142" spans="1:20">
      <c r="A142" s="112"/>
      <c r="B142" s="112"/>
      <c r="C142" s="113"/>
      <c r="D142" s="107"/>
      <c r="E142" s="107"/>
      <c r="F142" s="107"/>
      <c r="G142" s="107"/>
      <c r="H142" s="107"/>
      <c r="I142" s="107"/>
      <c r="J142" s="107"/>
      <c r="K142" s="107"/>
      <c r="L142" s="107"/>
      <c r="M142" s="107"/>
      <c r="N142" s="107"/>
      <c r="O142" s="107"/>
      <c r="P142" s="107"/>
      <c r="Q142" s="107"/>
      <c r="R142" s="107"/>
      <c r="S142" s="107"/>
      <c r="T142" s="107"/>
    </row>
    <row r="143" spans="1:20">
      <c r="A143" s="112"/>
      <c r="B143" s="112"/>
      <c r="C143" s="113"/>
      <c r="D143" s="107"/>
      <c r="E143" s="107"/>
      <c r="F143" s="107"/>
      <c r="G143" s="107"/>
      <c r="H143" s="107"/>
      <c r="I143" s="107"/>
      <c r="J143" s="107"/>
      <c r="K143" s="107"/>
      <c r="L143" s="107"/>
      <c r="M143" s="107"/>
      <c r="N143" s="107"/>
      <c r="O143" s="107"/>
      <c r="P143" s="107"/>
      <c r="Q143" s="107"/>
      <c r="R143" s="107"/>
      <c r="S143" s="107"/>
      <c r="T143" s="107"/>
    </row>
    <row r="144" spans="1:20">
      <c r="A144" s="112"/>
      <c r="B144" s="112"/>
      <c r="C144" s="113"/>
      <c r="D144" s="107"/>
      <c r="E144" s="107"/>
      <c r="F144" s="107"/>
      <c r="G144" s="107"/>
      <c r="H144" s="107"/>
      <c r="I144" s="107"/>
      <c r="J144" s="107"/>
      <c r="K144" s="107"/>
      <c r="L144" s="107"/>
      <c r="M144" s="107"/>
      <c r="N144" s="107"/>
      <c r="O144" s="107"/>
      <c r="P144" s="107"/>
      <c r="Q144" s="107"/>
      <c r="R144" s="107"/>
      <c r="S144" s="107"/>
      <c r="T144" s="107"/>
    </row>
  </sheetData>
  <mergeCells count="12">
    <mergeCell ref="B76:B77"/>
    <mergeCell ref="C76:C77"/>
    <mergeCell ref="B105:B106"/>
    <mergeCell ref="C105:C106"/>
    <mergeCell ref="B131:B132"/>
    <mergeCell ref="C131:C132"/>
    <mergeCell ref="B8:B9"/>
    <mergeCell ref="C8:C9"/>
    <mergeCell ref="B18:B19"/>
    <mergeCell ref="C18:C19"/>
    <mergeCell ref="B51:B52"/>
    <mergeCell ref="C51:C52"/>
  </mergeCells>
  <phoneticPr fontId="1" type="noConversion"/>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5FFFF"/>
    <pageSetUpPr fitToPage="1"/>
  </sheetPr>
  <dimension ref="A1:AD267"/>
  <sheetViews>
    <sheetView zoomScaleSheetLayoutView="85" workbookViewId="0">
      <selection sqref="A1:XFD1048576"/>
    </sheetView>
  </sheetViews>
  <sheetFormatPr defaultColWidth="10.28515625" defaultRowHeight="12.75"/>
  <cols>
    <col min="1" max="1" width="3.7109375" style="280" customWidth="1"/>
    <col min="2" max="2" width="105.28515625" style="280" customWidth="1"/>
    <col min="3" max="3" width="7.42578125" style="281" customWidth="1"/>
    <col min="4" max="8" width="10" style="282" customWidth="1"/>
    <col min="9" max="13" width="10.28515625" style="282" customWidth="1"/>
    <col min="14" max="14" width="3.140625" style="282" customWidth="1"/>
    <col min="15" max="17" width="10.28515625" style="282" customWidth="1"/>
    <col min="18" max="18" width="3.140625" style="282" customWidth="1"/>
    <col min="19" max="19" width="10.28515625" style="282" customWidth="1"/>
    <col min="20" max="20" width="13" style="282" customWidth="1"/>
    <col min="21" max="16384" width="10.28515625" style="280"/>
  </cols>
  <sheetData>
    <row r="1" spans="1:30" s="271" customFormat="1" ht="26.25">
      <c r="A1" s="265" t="s">
        <v>94</v>
      </c>
      <c r="B1" s="266"/>
      <c r="C1" s="267"/>
      <c r="D1" s="268"/>
      <c r="E1" s="268"/>
      <c r="F1" s="268"/>
      <c r="G1" s="268"/>
      <c r="H1" s="268"/>
      <c r="I1" s="268"/>
      <c r="J1" s="269"/>
      <c r="K1" s="270"/>
      <c r="L1" s="270"/>
      <c r="M1" s="269"/>
      <c r="N1" s="269"/>
      <c r="O1" s="270"/>
      <c r="P1" s="269"/>
      <c r="Q1" s="269"/>
      <c r="R1" s="269"/>
      <c r="S1" s="269"/>
      <c r="T1" s="269"/>
      <c r="Y1" s="272"/>
      <c r="Z1" s="272"/>
      <c r="AA1" s="272"/>
      <c r="AB1" s="272"/>
      <c r="AC1" s="272"/>
      <c r="AD1" s="272"/>
    </row>
    <row r="2" spans="1:30" s="271" customFormat="1" ht="18">
      <c r="A2" s="273"/>
      <c r="C2" s="274"/>
      <c r="D2" s="269"/>
      <c r="E2" s="269"/>
      <c r="F2" s="269"/>
      <c r="G2" s="269"/>
      <c r="H2" s="269"/>
      <c r="I2" s="269"/>
      <c r="J2" s="269"/>
      <c r="K2" s="269"/>
      <c r="L2" s="269"/>
      <c r="M2" s="269"/>
      <c r="N2" s="269"/>
      <c r="O2" s="269"/>
      <c r="P2" s="269"/>
      <c r="Q2" s="269"/>
      <c r="R2" s="269"/>
      <c r="S2" s="269"/>
      <c r="T2" s="269"/>
      <c r="Y2" s="272"/>
      <c r="Z2" s="272"/>
      <c r="AA2" s="272"/>
      <c r="AB2" s="272"/>
      <c r="AC2" s="272"/>
      <c r="AD2" s="272"/>
    </row>
    <row r="3" spans="1:30" s="276" customFormat="1" ht="18.75" thickBot="1">
      <c r="A3" s="275" t="s">
        <v>293</v>
      </c>
      <c r="C3" s="277"/>
      <c r="D3" s="278"/>
      <c r="E3" s="278"/>
      <c r="F3" s="278"/>
      <c r="G3" s="278"/>
      <c r="H3" s="278"/>
      <c r="I3" s="278"/>
      <c r="J3" s="278"/>
      <c r="K3" s="278"/>
      <c r="L3" s="278"/>
      <c r="M3" s="278"/>
      <c r="N3" s="278"/>
      <c r="O3" s="278"/>
      <c r="P3" s="278"/>
      <c r="Q3" s="278"/>
      <c r="R3" s="278"/>
      <c r="S3" s="278"/>
      <c r="T3" s="278"/>
      <c r="Y3" s="279"/>
      <c r="Z3" s="279"/>
      <c r="AA3" s="279"/>
      <c r="AB3" s="279"/>
      <c r="AC3" s="279"/>
      <c r="AD3" s="279"/>
    </row>
    <row r="4" spans="1:30">
      <c r="R4" s="283"/>
    </row>
    <row r="5" spans="1:30">
      <c r="D5" s="280"/>
      <c r="E5" s="280"/>
      <c r="F5" s="280"/>
      <c r="G5" s="280"/>
      <c r="H5" s="280"/>
      <c r="I5" s="280"/>
      <c r="J5" s="280"/>
      <c r="K5" s="280"/>
      <c r="L5" s="280"/>
      <c r="M5" s="280"/>
      <c r="N5" s="280"/>
      <c r="O5" s="280"/>
      <c r="P5" s="280"/>
      <c r="Q5" s="280"/>
      <c r="R5" s="283"/>
      <c r="S5" s="280"/>
      <c r="T5" s="280"/>
    </row>
    <row r="6" spans="1:30">
      <c r="B6" s="284" t="s">
        <v>294</v>
      </c>
      <c r="D6" s="280"/>
      <c r="E6" s="280"/>
      <c r="F6" s="280"/>
      <c r="G6" s="280"/>
      <c r="H6" s="280"/>
      <c r="I6" s="280"/>
      <c r="J6" s="280"/>
      <c r="K6" s="280"/>
      <c r="L6" s="280"/>
      <c r="M6" s="280"/>
      <c r="N6" s="280"/>
      <c r="O6" s="280"/>
      <c r="P6" s="280"/>
      <c r="Q6" s="280"/>
      <c r="R6" s="283"/>
      <c r="S6" s="280"/>
      <c r="T6" s="280"/>
    </row>
    <row r="7" spans="1:30" ht="13.5" thickBot="1">
      <c r="D7" s="280"/>
      <c r="E7" s="280"/>
      <c r="F7" s="280"/>
      <c r="G7" s="280"/>
      <c r="H7" s="280"/>
      <c r="I7" s="280"/>
      <c r="J7" s="280"/>
      <c r="K7" s="280"/>
      <c r="L7" s="280"/>
      <c r="M7" s="280"/>
      <c r="N7" s="280"/>
      <c r="O7" s="280"/>
      <c r="P7" s="280"/>
      <c r="Q7" s="280"/>
      <c r="R7" s="283"/>
      <c r="S7" s="280"/>
      <c r="T7" s="280"/>
    </row>
    <row r="8" spans="1:30">
      <c r="B8" s="285"/>
      <c r="C8" s="1499" t="s">
        <v>210</v>
      </c>
      <c r="D8" s="286" t="s">
        <v>211</v>
      </c>
      <c r="E8" s="287"/>
      <c r="F8" s="287"/>
      <c r="G8" s="287"/>
      <c r="H8" s="288"/>
      <c r="I8" s="287" t="s">
        <v>212</v>
      </c>
      <c r="J8" s="289"/>
      <c r="K8" s="289"/>
      <c r="L8" s="289"/>
      <c r="M8" s="288"/>
      <c r="N8" s="280"/>
      <c r="O8" s="290" t="s">
        <v>211</v>
      </c>
      <c r="P8" s="291"/>
      <c r="Q8" s="292"/>
      <c r="R8" s="283"/>
      <c r="S8" s="290" t="s">
        <v>212</v>
      </c>
      <c r="T8" s="292"/>
    </row>
    <row r="9" spans="1:30">
      <c r="B9" s="293"/>
      <c r="C9" s="1500"/>
      <c r="D9" s="294" t="s">
        <v>99</v>
      </c>
      <c r="E9" s="295" t="s">
        <v>100</v>
      </c>
      <c r="F9" s="295" t="s">
        <v>101</v>
      </c>
      <c r="G9" s="295" t="s">
        <v>102</v>
      </c>
      <c r="H9" s="296" t="s">
        <v>64</v>
      </c>
      <c r="I9" s="297" t="s">
        <v>213</v>
      </c>
      <c r="J9" s="295" t="s">
        <v>214</v>
      </c>
      <c r="K9" s="295" t="s">
        <v>215</v>
      </c>
      <c r="L9" s="295" t="s">
        <v>216</v>
      </c>
      <c r="M9" s="296" t="s">
        <v>217</v>
      </c>
      <c r="N9" s="280"/>
      <c r="O9" s="298" t="s">
        <v>218</v>
      </c>
      <c r="P9" s="299" t="s">
        <v>219</v>
      </c>
      <c r="Q9" s="300" t="s">
        <v>220</v>
      </c>
      <c r="R9" s="283"/>
      <c r="S9" s="298" t="s">
        <v>219</v>
      </c>
      <c r="T9" s="300" t="s">
        <v>221</v>
      </c>
    </row>
    <row r="10" spans="1:30">
      <c r="B10" s="301" t="s">
        <v>295</v>
      </c>
      <c r="C10" s="302" t="s">
        <v>223</v>
      </c>
      <c r="D10" s="303">
        <f t="shared" ref="D10:M10" si="0">SUM(D178,D217,D240)</f>
        <v>0</v>
      </c>
      <c r="E10" s="303">
        <f t="shared" si="0"/>
        <v>0</v>
      </c>
      <c r="F10" s="303">
        <f t="shared" si="0"/>
        <v>0</v>
      </c>
      <c r="G10" s="303">
        <f t="shared" si="0"/>
        <v>0</v>
      </c>
      <c r="H10" s="304">
        <f t="shared" si="0"/>
        <v>0</v>
      </c>
      <c r="I10" s="303">
        <f t="shared" si="0"/>
        <v>0</v>
      </c>
      <c r="J10" s="305">
        <f t="shared" si="0"/>
        <v>0</v>
      </c>
      <c r="K10" s="305">
        <f t="shared" si="0"/>
        <v>0</v>
      </c>
      <c r="L10" s="305">
        <f t="shared" si="0"/>
        <v>0</v>
      </c>
      <c r="M10" s="304">
        <f t="shared" si="0"/>
        <v>0</v>
      </c>
      <c r="N10" s="280"/>
      <c r="O10" s="306">
        <f t="shared" ref="O10:O15" si="1">SUM(D10:G10)</f>
        <v>0</v>
      </c>
      <c r="P10" s="307">
        <f t="shared" ref="P10:P15" si="2">SUM(H10)</f>
        <v>0</v>
      </c>
      <c r="Q10" s="308">
        <f t="shared" ref="Q10:Q15" si="3">SUM(D10:H10)</f>
        <v>0</v>
      </c>
      <c r="R10" s="283"/>
      <c r="S10" s="306">
        <f t="shared" ref="S10:S15" si="4">SUM(I10:M10)</f>
        <v>0</v>
      </c>
      <c r="T10" s="309" t="str">
        <f t="shared" ref="T10:T15" si="5">IF(Q10&lt;&gt;0,(S10-Q10)/Q10,"0")</f>
        <v>0</v>
      </c>
    </row>
    <row r="11" spans="1:30">
      <c r="B11" s="301" t="s">
        <v>296</v>
      </c>
      <c r="C11" s="302" t="s">
        <v>223</v>
      </c>
      <c r="D11" s="310">
        <f t="shared" ref="D11:M11" si="6">D240</f>
        <v>0</v>
      </c>
      <c r="E11" s="303">
        <f t="shared" si="6"/>
        <v>0</v>
      </c>
      <c r="F11" s="303">
        <f t="shared" si="6"/>
        <v>0</v>
      </c>
      <c r="G11" s="303">
        <f t="shared" si="6"/>
        <v>0</v>
      </c>
      <c r="H11" s="304">
        <f t="shared" si="6"/>
        <v>0</v>
      </c>
      <c r="I11" s="303">
        <f t="shared" si="6"/>
        <v>0</v>
      </c>
      <c r="J11" s="305">
        <f t="shared" si="6"/>
        <v>0</v>
      </c>
      <c r="K11" s="305">
        <f t="shared" si="6"/>
        <v>0</v>
      </c>
      <c r="L11" s="305">
        <f t="shared" si="6"/>
        <v>0</v>
      </c>
      <c r="M11" s="304">
        <f t="shared" si="6"/>
        <v>0</v>
      </c>
      <c r="N11" s="280"/>
      <c r="O11" s="306">
        <f t="shared" si="1"/>
        <v>0</v>
      </c>
      <c r="P11" s="307">
        <f t="shared" si="2"/>
        <v>0</v>
      </c>
      <c r="Q11" s="308">
        <f t="shared" si="3"/>
        <v>0</v>
      </c>
      <c r="R11" s="283"/>
      <c r="S11" s="306">
        <f t="shared" si="4"/>
        <v>0</v>
      </c>
      <c r="T11" s="309" t="str">
        <f t="shared" si="5"/>
        <v>0</v>
      </c>
    </row>
    <row r="12" spans="1:30">
      <c r="B12" s="311" t="s">
        <v>297</v>
      </c>
      <c r="C12" s="302" t="s">
        <v>223</v>
      </c>
      <c r="D12" s="310">
        <f t="shared" ref="D12:M12" si="7">D263</f>
        <v>0</v>
      </c>
      <c r="E12" s="303">
        <f t="shared" si="7"/>
        <v>0</v>
      </c>
      <c r="F12" s="303">
        <f t="shared" si="7"/>
        <v>0</v>
      </c>
      <c r="G12" s="303">
        <f t="shared" si="7"/>
        <v>0</v>
      </c>
      <c r="H12" s="304">
        <f t="shared" si="7"/>
        <v>0</v>
      </c>
      <c r="I12" s="303">
        <f t="shared" si="7"/>
        <v>0</v>
      </c>
      <c r="J12" s="305">
        <f t="shared" si="7"/>
        <v>0</v>
      </c>
      <c r="K12" s="305">
        <f t="shared" si="7"/>
        <v>0</v>
      </c>
      <c r="L12" s="305">
        <f t="shared" si="7"/>
        <v>0</v>
      </c>
      <c r="M12" s="304">
        <f t="shared" si="7"/>
        <v>0</v>
      </c>
      <c r="N12" s="280"/>
      <c r="O12" s="306">
        <f t="shared" si="1"/>
        <v>0</v>
      </c>
      <c r="P12" s="307">
        <f t="shared" si="2"/>
        <v>0</v>
      </c>
      <c r="Q12" s="308">
        <f t="shared" si="3"/>
        <v>0</v>
      </c>
      <c r="R12" s="283"/>
      <c r="S12" s="306">
        <f t="shared" si="4"/>
        <v>0</v>
      </c>
      <c r="T12" s="309" t="str">
        <f t="shared" si="5"/>
        <v>0</v>
      </c>
    </row>
    <row r="13" spans="1:30">
      <c r="B13" s="301" t="s">
        <v>298</v>
      </c>
      <c r="C13" s="302" t="s">
        <v>223</v>
      </c>
      <c r="D13" s="312">
        <f t="shared" ref="D13:M13" si="8">D11-D12</f>
        <v>0</v>
      </c>
      <c r="E13" s="313">
        <f t="shared" si="8"/>
        <v>0</v>
      </c>
      <c r="F13" s="313">
        <f t="shared" si="8"/>
        <v>0</v>
      </c>
      <c r="G13" s="313">
        <f t="shared" si="8"/>
        <v>0</v>
      </c>
      <c r="H13" s="314">
        <f t="shared" si="8"/>
        <v>0</v>
      </c>
      <c r="I13" s="315">
        <f t="shared" si="8"/>
        <v>0</v>
      </c>
      <c r="J13" s="313">
        <f t="shared" si="8"/>
        <v>0</v>
      </c>
      <c r="K13" s="313">
        <f t="shared" si="8"/>
        <v>0</v>
      </c>
      <c r="L13" s="313">
        <f t="shared" si="8"/>
        <v>0</v>
      </c>
      <c r="M13" s="314">
        <f t="shared" si="8"/>
        <v>0</v>
      </c>
      <c r="N13" s="280"/>
      <c r="O13" s="306">
        <f t="shared" si="1"/>
        <v>0</v>
      </c>
      <c r="P13" s="307">
        <f t="shared" si="2"/>
        <v>0</v>
      </c>
      <c r="Q13" s="308">
        <f t="shared" si="3"/>
        <v>0</v>
      </c>
      <c r="R13" s="283"/>
      <c r="S13" s="306">
        <f t="shared" si="4"/>
        <v>0</v>
      </c>
      <c r="T13" s="309" t="str">
        <f t="shared" si="5"/>
        <v>0</v>
      </c>
    </row>
    <row r="14" spans="1:30">
      <c r="B14" s="301" t="s">
        <v>299</v>
      </c>
      <c r="C14" s="302" t="s">
        <v>223</v>
      </c>
      <c r="D14" s="316"/>
      <c r="E14" s="316"/>
      <c r="F14" s="316"/>
      <c r="G14" s="316"/>
      <c r="H14" s="316"/>
      <c r="I14" s="316"/>
      <c r="J14" s="316"/>
      <c r="K14" s="316"/>
      <c r="L14" s="316"/>
      <c r="M14" s="316"/>
      <c r="N14" s="280"/>
      <c r="O14" s="306">
        <f t="shared" si="1"/>
        <v>0</v>
      </c>
      <c r="P14" s="307">
        <f t="shared" si="2"/>
        <v>0</v>
      </c>
      <c r="Q14" s="308">
        <f t="shared" si="3"/>
        <v>0</v>
      </c>
      <c r="R14" s="283"/>
      <c r="S14" s="306">
        <f t="shared" si="4"/>
        <v>0</v>
      </c>
      <c r="T14" s="309" t="str">
        <f t="shared" si="5"/>
        <v>0</v>
      </c>
    </row>
    <row r="15" spans="1:30">
      <c r="B15" s="301" t="s">
        <v>300</v>
      </c>
      <c r="C15" s="302" t="s">
        <v>223</v>
      </c>
      <c r="D15" s="317">
        <f t="shared" ref="D15:M15" si="9">D13+D14</f>
        <v>0</v>
      </c>
      <c r="E15" s="318">
        <f t="shared" si="9"/>
        <v>0</v>
      </c>
      <c r="F15" s="318">
        <f t="shared" si="9"/>
        <v>0</v>
      </c>
      <c r="G15" s="318">
        <f t="shared" si="9"/>
        <v>0</v>
      </c>
      <c r="H15" s="319">
        <f t="shared" si="9"/>
        <v>0</v>
      </c>
      <c r="I15" s="318">
        <f t="shared" si="9"/>
        <v>0</v>
      </c>
      <c r="J15" s="320">
        <f t="shared" si="9"/>
        <v>0</v>
      </c>
      <c r="K15" s="320">
        <f t="shared" si="9"/>
        <v>0</v>
      </c>
      <c r="L15" s="320">
        <f t="shared" si="9"/>
        <v>0</v>
      </c>
      <c r="M15" s="319">
        <f t="shared" si="9"/>
        <v>0</v>
      </c>
      <c r="N15" s="280"/>
      <c r="O15" s="306">
        <f t="shared" si="1"/>
        <v>0</v>
      </c>
      <c r="P15" s="307">
        <f t="shared" si="2"/>
        <v>0</v>
      </c>
      <c r="Q15" s="308">
        <f t="shared" si="3"/>
        <v>0</v>
      </c>
      <c r="R15" s="283"/>
      <c r="S15" s="306">
        <f t="shared" si="4"/>
        <v>0</v>
      </c>
      <c r="T15" s="309" t="str">
        <f t="shared" si="5"/>
        <v>0</v>
      </c>
    </row>
    <row r="16" spans="1:30" ht="13.5" thickBot="1">
      <c r="B16" s="321" t="s">
        <v>301</v>
      </c>
      <c r="C16" s="322"/>
      <c r="D16" s="323" t="str">
        <f t="shared" ref="D16:M16" si="10">IF(D13-SUM(D31,D35,D39,D43)=0,"OK","ERROR")</f>
        <v>OK</v>
      </c>
      <c r="E16" s="324" t="str">
        <f t="shared" si="10"/>
        <v>OK</v>
      </c>
      <c r="F16" s="324" t="str">
        <f t="shared" si="10"/>
        <v>OK</v>
      </c>
      <c r="G16" s="324" t="str">
        <f t="shared" si="10"/>
        <v>OK</v>
      </c>
      <c r="H16" s="325" t="str">
        <f t="shared" si="10"/>
        <v>OK</v>
      </c>
      <c r="I16" s="324" t="str">
        <f t="shared" si="10"/>
        <v>OK</v>
      </c>
      <c r="J16" s="326" t="str">
        <f t="shared" si="10"/>
        <v>OK</v>
      </c>
      <c r="K16" s="326" t="str">
        <f t="shared" si="10"/>
        <v>OK</v>
      </c>
      <c r="L16" s="326" t="str">
        <f t="shared" si="10"/>
        <v>OK</v>
      </c>
      <c r="M16" s="325" t="str">
        <f t="shared" si="10"/>
        <v>OK</v>
      </c>
      <c r="N16" s="280"/>
      <c r="O16" s="327"/>
      <c r="P16" s="328"/>
      <c r="Q16" s="329"/>
      <c r="R16" s="283"/>
      <c r="S16" s="327"/>
      <c r="T16" s="330"/>
    </row>
    <row r="17" spans="2:20" ht="13.5" thickBot="1">
      <c r="D17" s="280"/>
      <c r="E17" s="280"/>
      <c r="F17" s="280"/>
      <c r="G17" s="280"/>
      <c r="H17" s="280"/>
      <c r="I17" s="280"/>
      <c r="J17" s="280"/>
      <c r="K17" s="280"/>
      <c r="L17" s="280"/>
      <c r="M17" s="280"/>
      <c r="N17" s="280"/>
      <c r="O17" s="280"/>
      <c r="P17" s="280"/>
      <c r="Q17" s="280"/>
      <c r="R17" s="283"/>
      <c r="S17" s="280"/>
      <c r="T17" s="280"/>
    </row>
    <row r="18" spans="2:20">
      <c r="B18" s="285"/>
      <c r="C18" s="1499" t="s">
        <v>210</v>
      </c>
      <c r="D18" s="286" t="s">
        <v>211</v>
      </c>
      <c r="E18" s="287"/>
      <c r="F18" s="287"/>
      <c r="G18" s="287"/>
      <c r="H18" s="288"/>
      <c r="I18" s="287" t="s">
        <v>212</v>
      </c>
      <c r="J18" s="289"/>
      <c r="K18" s="289"/>
      <c r="L18" s="289"/>
      <c r="M18" s="288"/>
      <c r="N18" s="280"/>
      <c r="O18" s="290" t="s">
        <v>211</v>
      </c>
      <c r="P18" s="291"/>
      <c r="Q18" s="292"/>
      <c r="R18" s="283"/>
      <c r="S18" s="290" t="s">
        <v>212</v>
      </c>
      <c r="T18" s="292"/>
    </row>
    <row r="19" spans="2:20">
      <c r="B19" s="293"/>
      <c r="C19" s="1500"/>
      <c r="D19" s="294" t="s">
        <v>99</v>
      </c>
      <c r="E19" s="295" t="s">
        <v>100</v>
      </c>
      <c r="F19" s="295" t="s">
        <v>101</v>
      </c>
      <c r="G19" s="295" t="s">
        <v>102</v>
      </c>
      <c r="H19" s="296" t="s">
        <v>64</v>
      </c>
      <c r="I19" s="297" t="s">
        <v>213</v>
      </c>
      <c r="J19" s="295" t="s">
        <v>214</v>
      </c>
      <c r="K19" s="295" t="s">
        <v>215</v>
      </c>
      <c r="L19" s="295" t="s">
        <v>216</v>
      </c>
      <c r="M19" s="296" t="s">
        <v>217</v>
      </c>
      <c r="N19" s="280"/>
      <c r="O19" s="298" t="s">
        <v>218</v>
      </c>
      <c r="P19" s="299" t="s">
        <v>219</v>
      </c>
      <c r="Q19" s="300" t="s">
        <v>220</v>
      </c>
      <c r="R19" s="283"/>
      <c r="S19" s="298" t="s">
        <v>219</v>
      </c>
      <c r="T19" s="300" t="s">
        <v>221</v>
      </c>
    </row>
    <row r="20" spans="2:20">
      <c r="B20" s="301" t="s">
        <v>302</v>
      </c>
      <c r="C20" s="302" t="s">
        <v>223</v>
      </c>
      <c r="D20" s="316"/>
      <c r="E20" s="331"/>
      <c r="F20" s="331"/>
      <c r="G20" s="331"/>
      <c r="H20" s="332"/>
      <c r="I20" s="331"/>
      <c r="J20" s="333"/>
      <c r="K20" s="333"/>
      <c r="L20" s="333"/>
      <c r="M20" s="332"/>
      <c r="N20" s="280"/>
      <c r="O20" s="306">
        <f>SUM(D20:G20)</f>
        <v>0</v>
      </c>
      <c r="P20" s="307">
        <f>SUM(H20)</f>
        <v>0</v>
      </c>
      <c r="Q20" s="308">
        <f>SUM(D20:H20)</f>
        <v>0</v>
      </c>
      <c r="R20" s="283"/>
      <c r="S20" s="306">
        <f>SUM(I20:M20)</f>
        <v>0</v>
      </c>
      <c r="T20" s="309" t="str">
        <f>IF(Q20&lt;&gt;0,(S20-Q20)/Q20,"0")</f>
        <v>0</v>
      </c>
    </row>
    <row r="21" spans="2:20">
      <c r="B21" s="301" t="s">
        <v>303</v>
      </c>
      <c r="C21" s="302" t="s">
        <v>223</v>
      </c>
      <c r="D21" s="316"/>
      <c r="E21" s="331"/>
      <c r="F21" s="331"/>
      <c r="G21" s="331"/>
      <c r="H21" s="332"/>
      <c r="I21" s="331"/>
      <c r="J21" s="333"/>
      <c r="K21" s="333"/>
      <c r="L21" s="333"/>
      <c r="M21" s="332"/>
      <c r="N21" s="280"/>
      <c r="O21" s="306">
        <f>SUM(D21:G21)</f>
        <v>0</v>
      </c>
      <c r="P21" s="307">
        <f>SUM(H21)</f>
        <v>0</v>
      </c>
      <c r="Q21" s="308">
        <f>SUM(D21:H21)</f>
        <v>0</v>
      </c>
      <c r="R21" s="283"/>
      <c r="S21" s="306">
        <f>SUM(I21:M21)</f>
        <v>0</v>
      </c>
      <c r="T21" s="309" t="str">
        <f>IF(Q21&lt;&gt;0,(S21-Q21)/Q21,"0")</f>
        <v>0</v>
      </c>
    </row>
    <row r="22" spans="2:20" ht="13.5" thickBot="1">
      <c r="B22" s="321" t="s">
        <v>220</v>
      </c>
      <c r="C22" s="322" t="s">
        <v>223</v>
      </c>
      <c r="D22" s="334">
        <f t="shared" ref="D22:M22" si="11">D20+D21</f>
        <v>0</v>
      </c>
      <c r="E22" s="335">
        <f t="shared" si="11"/>
        <v>0</v>
      </c>
      <c r="F22" s="335">
        <f t="shared" si="11"/>
        <v>0</v>
      </c>
      <c r="G22" s="335">
        <f t="shared" si="11"/>
        <v>0</v>
      </c>
      <c r="H22" s="336">
        <f t="shared" si="11"/>
        <v>0</v>
      </c>
      <c r="I22" s="335">
        <f t="shared" si="11"/>
        <v>0</v>
      </c>
      <c r="J22" s="337">
        <f t="shared" si="11"/>
        <v>0</v>
      </c>
      <c r="K22" s="337">
        <f t="shared" si="11"/>
        <v>0</v>
      </c>
      <c r="L22" s="337">
        <f t="shared" si="11"/>
        <v>0</v>
      </c>
      <c r="M22" s="336">
        <f t="shared" si="11"/>
        <v>0</v>
      </c>
      <c r="N22" s="280"/>
      <c r="O22" s="338">
        <f>SUM(D22:G22)</f>
        <v>0</v>
      </c>
      <c r="P22" s="339">
        <f>SUM(H22)</f>
        <v>0</v>
      </c>
      <c r="Q22" s="340">
        <f>SUM(D22:H22)</f>
        <v>0</v>
      </c>
      <c r="R22" s="283"/>
      <c r="S22" s="338">
        <f>SUM(I22:M22)</f>
        <v>0</v>
      </c>
      <c r="T22" s="341" t="str">
        <f>IF(Q22&lt;&gt;0,(S22-Q22)/Q22,"0")</f>
        <v>0</v>
      </c>
    </row>
    <row r="23" spans="2:20">
      <c r="D23" s="280"/>
      <c r="E23" s="280"/>
      <c r="F23" s="280"/>
      <c r="G23" s="280"/>
      <c r="H23" s="280"/>
      <c r="I23" s="280"/>
      <c r="J23" s="280"/>
      <c r="K23" s="280"/>
      <c r="L23" s="280"/>
      <c r="M23" s="280"/>
      <c r="N23" s="280"/>
      <c r="O23" s="280"/>
      <c r="P23" s="280"/>
      <c r="Q23" s="280"/>
      <c r="R23" s="283"/>
      <c r="S23" s="280"/>
      <c r="T23" s="280"/>
    </row>
    <row r="24" spans="2:20">
      <c r="B24" s="342" t="s">
        <v>304</v>
      </c>
      <c r="C24" s="343"/>
      <c r="D24" s="344"/>
      <c r="E24" s="344"/>
      <c r="F24" s="344"/>
      <c r="G24" s="344"/>
      <c r="H24" s="344"/>
      <c r="I24" s="344"/>
      <c r="J24" s="344"/>
      <c r="K24" s="344"/>
      <c r="L24" s="344"/>
      <c r="M24" s="344"/>
      <c r="N24" s="283"/>
      <c r="O24" s="344"/>
      <c r="P24" s="344"/>
      <c r="Q24" s="344"/>
      <c r="R24" s="283"/>
      <c r="S24" s="344"/>
      <c r="T24" s="344"/>
    </row>
    <row r="25" spans="2:20" ht="13.5" thickBot="1">
      <c r="B25" s="342"/>
      <c r="C25" s="343"/>
      <c r="D25" s="344"/>
      <c r="E25" s="344"/>
      <c r="F25" s="344"/>
      <c r="G25" s="344"/>
      <c r="H25" s="344"/>
      <c r="I25" s="344"/>
      <c r="J25" s="344"/>
      <c r="K25" s="344"/>
      <c r="L25" s="344"/>
      <c r="M25" s="344"/>
      <c r="N25" s="283"/>
      <c r="O25" s="344"/>
      <c r="P25" s="344"/>
      <c r="Q25" s="344"/>
      <c r="R25" s="283"/>
      <c r="S25" s="344"/>
      <c r="T25" s="344"/>
    </row>
    <row r="26" spans="2:20">
      <c r="B26" s="1501" t="s">
        <v>305</v>
      </c>
      <c r="C26" s="1499" t="s">
        <v>210</v>
      </c>
      <c r="D26" s="286" t="s">
        <v>211</v>
      </c>
      <c r="E26" s="287"/>
      <c r="F26" s="287"/>
      <c r="G26" s="287"/>
      <c r="H26" s="288"/>
      <c r="I26" s="287" t="s">
        <v>212</v>
      </c>
      <c r="J26" s="289"/>
      <c r="K26" s="289"/>
      <c r="L26" s="289"/>
      <c r="M26" s="288"/>
      <c r="N26" s="283"/>
      <c r="O26" s="290" t="s">
        <v>211</v>
      </c>
      <c r="P26" s="291"/>
      <c r="Q26" s="292"/>
      <c r="R26" s="283"/>
      <c r="S26" s="290" t="s">
        <v>212</v>
      </c>
      <c r="T26" s="292"/>
    </row>
    <row r="27" spans="2:20">
      <c r="B27" s="1502"/>
      <c r="C27" s="1500"/>
      <c r="D27" s="294" t="s">
        <v>99</v>
      </c>
      <c r="E27" s="295" t="s">
        <v>100</v>
      </c>
      <c r="F27" s="295" t="s">
        <v>101</v>
      </c>
      <c r="G27" s="295" t="s">
        <v>102</v>
      </c>
      <c r="H27" s="296" t="s">
        <v>64</v>
      </c>
      <c r="I27" s="297" t="s">
        <v>213</v>
      </c>
      <c r="J27" s="295" t="s">
        <v>214</v>
      </c>
      <c r="K27" s="295" t="s">
        <v>215</v>
      </c>
      <c r="L27" s="295" t="s">
        <v>216</v>
      </c>
      <c r="M27" s="296" t="s">
        <v>217</v>
      </c>
      <c r="N27" s="283"/>
      <c r="O27" s="298" t="s">
        <v>218</v>
      </c>
      <c r="P27" s="299" t="s">
        <v>219</v>
      </c>
      <c r="Q27" s="300" t="s">
        <v>220</v>
      </c>
      <c r="R27" s="283"/>
      <c r="S27" s="298" t="s">
        <v>219</v>
      </c>
      <c r="T27" s="300" t="s">
        <v>221</v>
      </c>
    </row>
    <row r="28" spans="2:20">
      <c r="B28" s="345" t="s">
        <v>280</v>
      </c>
      <c r="C28" s="346"/>
      <c r="D28" s="347"/>
      <c r="E28" s="348"/>
      <c r="F28" s="348"/>
      <c r="G28" s="348"/>
      <c r="H28" s="349"/>
      <c r="I28" s="348"/>
      <c r="J28" s="348"/>
      <c r="K28" s="348"/>
      <c r="L28" s="348"/>
      <c r="M28" s="349"/>
      <c r="N28" s="283"/>
      <c r="O28" s="350"/>
      <c r="P28" s="351"/>
      <c r="Q28" s="352"/>
      <c r="R28" s="283"/>
      <c r="S28" s="347"/>
      <c r="T28" s="349"/>
    </row>
    <row r="29" spans="2:20">
      <c r="B29" s="353" t="s">
        <v>306</v>
      </c>
      <c r="C29" s="354" t="s">
        <v>223</v>
      </c>
      <c r="D29" s="355"/>
      <c r="E29" s="356"/>
      <c r="F29" s="356"/>
      <c r="G29" s="356"/>
      <c r="H29" s="357"/>
      <c r="I29" s="358">
        <f t="shared" ref="I29:M30" si="12">I225-I248</f>
        <v>0</v>
      </c>
      <c r="J29" s="359">
        <f t="shared" si="12"/>
        <v>0</v>
      </c>
      <c r="K29" s="359">
        <f t="shared" si="12"/>
        <v>0</v>
      </c>
      <c r="L29" s="359">
        <f t="shared" si="12"/>
        <v>0</v>
      </c>
      <c r="M29" s="360">
        <f t="shared" si="12"/>
        <v>0</v>
      </c>
      <c r="N29" s="283"/>
      <c r="O29" s="327"/>
      <c r="P29" s="328"/>
      <c r="Q29" s="329"/>
      <c r="R29" s="283"/>
      <c r="S29" s="327"/>
      <c r="T29" s="330"/>
    </row>
    <row r="30" spans="2:20">
      <c r="B30" s="353" t="s">
        <v>307</v>
      </c>
      <c r="C30" s="354" t="s">
        <v>223</v>
      </c>
      <c r="D30" s="355"/>
      <c r="E30" s="356"/>
      <c r="F30" s="356"/>
      <c r="G30" s="356"/>
      <c r="H30" s="357"/>
      <c r="I30" s="358">
        <f t="shared" si="12"/>
        <v>0</v>
      </c>
      <c r="J30" s="359">
        <f t="shared" si="12"/>
        <v>0</v>
      </c>
      <c r="K30" s="359">
        <f t="shared" si="12"/>
        <v>0</v>
      </c>
      <c r="L30" s="359">
        <f t="shared" si="12"/>
        <v>0</v>
      </c>
      <c r="M30" s="360">
        <f t="shared" si="12"/>
        <v>0</v>
      </c>
      <c r="N30" s="283"/>
      <c r="O30" s="327"/>
      <c r="P30" s="328"/>
      <c r="Q30" s="329"/>
      <c r="R30" s="283"/>
      <c r="S30" s="327"/>
      <c r="T30" s="330"/>
    </row>
    <row r="31" spans="2:20">
      <c r="B31" s="361" t="s">
        <v>268</v>
      </c>
      <c r="C31" s="354" t="s">
        <v>223</v>
      </c>
      <c r="D31" s="306">
        <f>D227-D250</f>
        <v>0</v>
      </c>
      <c r="E31" s="362">
        <f>E227-E250</f>
        <v>0</v>
      </c>
      <c r="F31" s="362">
        <f>F227-F250</f>
        <v>0</v>
      </c>
      <c r="G31" s="362">
        <f>G227-G250</f>
        <v>0</v>
      </c>
      <c r="H31" s="308">
        <f>H227-H250</f>
        <v>0</v>
      </c>
      <c r="I31" s="362">
        <f>SUM(I29:I30)</f>
        <v>0</v>
      </c>
      <c r="J31" s="307">
        <f>SUM(J29:J30)</f>
        <v>0</v>
      </c>
      <c r="K31" s="307">
        <f>SUM(K29:K30)</f>
        <v>0</v>
      </c>
      <c r="L31" s="307">
        <f>SUM(L29:L30)</f>
        <v>0</v>
      </c>
      <c r="M31" s="308">
        <f>SUM(M29:M30)</f>
        <v>0</v>
      </c>
      <c r="N31" s="283"/>
      <c r="O31" s="306">
        <f>SUM(D31:G31)</f>
        <v>0</v>
      </c>
      <c r="P31" s="307">
        <f>SUM(H31)</f>
        <v>0</v>
      </c>
      <c r="Q31" s="308">
        <f>SUM(D31:H31)</f>
        <v>0</v>
      </c>
      <c r="R31" s="283"/>
      <c r="S31" s="306">
        <f>SUM(I31:M31)</f>
        <v>0</v>
      </c>
      <c r="T31" s="309" t="str">
        <f>IF(Q31&lt;&gt;0,(S31-Q31)/Q31,"0")</f>
        <v>0</v>
      </c>
    </row>
    <row r="32" spans="2:20">
      <c r="B32" s="345" t="s">
        <v>282</v>
      </c>
      <c r="C32" s="363"/>
      <c r="D32" s="364"/>
      <c r="E32" s="365"/>
      <c r="F32" s="365"/>
      <c r="G32" s="365"/>
      <c r="H32" s="366"/>
      <c r="I32" s="365"/>
      <c r="J32" s="365"/>
      <c r="K32" s="365"/>
      <c r="L32" s="365"/>
      <c r="M32" s="366"/>
      <c r="N32" s="283"/>
      <c r="O32" s="367"/>
      <c r="P32" s="365"/>
      <c r="Q32" s="366"/>
      <c r="R32" s="283"/>
      <c r="S32" s="364"/>
      <c r="T32" s="366"/>
    </row>
    <row r="33" spans="2:20">
      <c r="B33" s="353" t="s">
        <v>308</v>
      </c>
      <c r="C33" s="354" t="s">
        <v>223</v>
      </c>
      <c r="D33" s="355"/>
      <c r="E33" s="356"/>
      <c r="F33" s="356"/>
      <c r="G33" s="356"/>
      <c r="H33" s="357"/>
      <c r="I33" s="358">
        <f t="shared" ref="I33:M34" si="13">I229-I252</f>
        <v>0</v>
      </c>
      <c r="J33" s="359">
        <f t="shared" si="13"/>
        <v>0</v>
      </c>
      <c r="K33" s="359">
        <f t="shared" si="13"/>
        <v>0</v>
      </c>
      <c r="L33" s="359">
        <f t="shared" si="13"/>
        <v>0</v>
      </c>
      <c r="M33" s="360">
        <f t="shared" si="13"/>
        <v>0</v>
      </c>
      <c r="N33" s="283"/>
      <c r="O33" s="327"/>
      <c r="P33" s="328"/>
      <c r="Q33" s="329"/>
      <c r="R33" s="283"/>
      <c r="S33" s="327"/>
      <c r="T33" s="330"/>
    </row>
    <row r="34" spans="2:20">
      <c r="B34" s="353" t="s">
        <v>309</v>
      </c>
      <c r="C34" s="354" t="s">
        <v>223</v>
      </c>
      <c r="D34" s="355"/>
      <c r="E34" s="356"/>
      <c r="F34" s="356"/>
      <c r="G34" s="356"/>
      <c r="H34" s="357"/>
      <c r="I34" s="358">
        <f t="shared" si="13"/>
        <v>0</v>
      </c>
      <c r="J34" s="359">
        <f t="shared" si="13"/>
        <v>0</v>
      </c>
      <c r="K34" s="359">
        <f t="shared" si="13"/>
        <v>0</v>
      </c>
      <c r="L34" s="359">
        <f t="shared" si="13"/>
        <v>0</v>
      </c>
      <c r="M34" s="360">
        <f t="shared" si="13"/>
        <v>0</v>
      </c>
      <c r="N34" s="283"/>
      <c r="O34" s="327"/>
      <c r="P34" s="328"/>
      <c r="Q34" s="329"/>
      <c r="R34" s="283"/>
      <c r="S34" s="327"/>
      <c r="T34" s="330"/>
    </row>
    <row r="35" spans="2:20">
      <c r="B35" s="361" t="s">
        <v>270</v>
      </c>
      <c r="C35" s="354" t="s">
        <v>223</v>
      </c>
      <c r="D35" s="306">
        <f>D231-D254</f>
        <v>0</v>
      </c>
      <c r="E35" s="362">
        <f>E231-E254</f>
        <v>0</v>
      </c>
      <c r="F35" s="362">
        <f>F231-F254</f>
        <v>0</v>
      </c>
      <c r="G35" s="362">
        <f>G231-G254</f>
        <v>0</v>
      </c>
      <c r="H35" s="308">
        <f>H231-H254</f>
        <v>0</v>
      </c>
      <c r="I35" s="362">
        <f>SUM(I33:I34)</f>
        <v>0</v>
      </c>
      <c r="J35" s="307">
        <f>SUM(J33:J34)</f>
        <v>0</v>
      </c>
      <c r="K35" s="307">
        <f>SUM(K33:K34)</f>
        <v>0</v>
      </c>
      <c r="L35" s="307">
        <f>SUM(L33:L34)</f>
        <v>0</v>
      </c>
      <c r="M35" s="308">
        <f>SUM(M33:M34)</f>
        <v>0</v>
      </c>
      <c r="N35" s="283"/>
      <c r="O35" s="306">
        <f>SUM(D35:G35)</f>
        <v>0</v>
      </c>
      <c r="P35" s="307">
        <f>SUM(H35)</f>
        <v>0</v>
      </c>
      <c r="Q35" s="308">
        <f>SUM(D35:H35)</f>
        <v>0</v>
      </c>
      <c r="R35" s="283"/>
      <c r="S35" s="306">
        <f>SUM(I35:M35)</f>
        <v>0</v>
      </c>
      <c r="T35" s="309" t="str">
        <f>IF(Q35&lt;&gt;0,(S35-Q35)/Q35,"0")</f>
        <v>0</v>
      </c>
    </row>
    <row r="36" spans="2:20">
      <c r="B36" s="345" t="s">
        <v>283</v>
      </c>
      <c r="C36" s="363"/>
      <c r="D36" s="364"/>
      <c r="E36" s="365"/>
      <c r="F36" s="365"/>
      <c r="G36" s="365"/>
      <c r="H36" s="366"/>
      <c r="I36" s="365"/>
      <c r="J36" s="365"/>
      <c r="K36" s="365"/>
      <c r="L36" s="365"/>
      <c r="M36" s="366"/>
      <c r="N36" s="283"/>
      <c r="O36" s="364"/>
      <c r="P36" s="365"/>
      <c r="Q36" s="366"/>
      <c r="R36" s="283"/>
      <c r="S36" s="364"/>
      <c r="T36" s="366"/>
    </row>
    <row r="37" spans="2:20">
      <c r="B37" s="353" t="s">
        <v>310</v>
      </c>
      <c r="C37" s="354" t="s">
        <v>223</v>
      </c>
      <c r="D37" s="355"/>
      <c r="E37" s="356"/>
      <c r="F37" s="356"/>
      <c r="G37" s="356"/>
      <c r="H37" s="357"/>
      <c r="I37" s="358">
        <f t="shared" ref="I37:M38" si="14">I233-I256</f>
        <v>0</v>
      </c>
      <c r="J37" s="359">
        <f t="shared" si="14"/>
        <v>0</v>
      </c>
      <c r="K37" s="359">
        <f t="shared" si="14"/>
        <v>0</v>
      </c>
      <c r="L37" s="359">
        <f t="shared" si="14"/>
        <v>0</v>
      </c>
      <c r="M37" s="360">
        <f t="shared" si="14"/>
        <v>0</v>
      </c>
      <c r="N37" s="283"/>
      <c r="O37" s="327"/>
      <c r="P37" s="328"/>
      <c r="Q37" s="329"/>
      <c r="R37" s="283"/>
      <c r="S37" s="327"/>
      <c r="T37" s="330"/>
    </row>
    <row r="38" spans="2:20">
      <c r="B38" s="353" t="s">
        <v>311</v>
      </c>
      <c r="C38" s="354" t="s">
        <v>223</v>
      </c>
      <c r="D38" s="355"/>
      <c r="E38" s="356"/>
      <c r="F38" s="356"/>
      <c r="G38" s="356"/>
      <c r="H38" s="357"/>
      <c r="I38" s="358">
        <f t="shared" si="14"/>
        <v>0</v>
      </c>
      <c r="J38" s="359">
        <f t="shared" si="14"/>
        <v>0</v>
      </c>
      <c r="K38" s="359">
        <f t="shared" si="14"/>
        <v>0</v>
      </c>
      <c r="L38" s="359">
        <f t="shared" si="14"/>
        <v>0</v>
      </c>
      <c r="M38" s="360">
        <f t="shared" si="14"/>
        <v>0</v>
      </c>
      <c r="N38" s="283"/>
      <c r="O38" s="327"/>
      <c r="P38" s="328"/>
      <c r="Q38" s="329"/>
      <c r="R38" s="283"/>
      <c r="S38" s="327"/>
      <c r="T38" s="330"/>
    </row>
    <row r="39" spans="2:20">
      <c r="B39" s="361" t="s">
        <v>272</v>
      </c>
      <c r="C39" s="354" t="s">
        <v>223</v>
      </c>
      <c r="D39" s="306">
        <f>D235-D258</f>
        <v>0</v>
      </c>
      <c r="E39" s="362">
        <f>E235-E258</f>
        <v>0</v>
      </c>
      <c r="F39" s="362">
        <f>F235-F258</f>
        <v>0</v>
      </c>
      <c r="G39" s="362">
        <f>G235-G258</f>
        <v>0</v>
      </c>
      <c r="H39" s="308">
        <f>H235-H258</f>
        <v>0</v>
      </c>
      <c r="I39" s="362">
        <f>SUM(I37:I38)</f>
        <v>0</v>
      </c>
      <c r="J39" s="307">
        <f>SUM(J37:J38)</f>
        <v>0</v>
      </c>
      <c r="K39" s="307">
        <f>SUM(K37:K38)</f>
        <v>0</v>
      </c>
      <c r="L39" s="307">
        <f>SUM(L37:L38)</f>
        <v>0</v>
      </c>
      <c r="M39" s="308">
        <f>SUM(M37:M38)</f>
        <v>0</v>
      </c>
      <c r="N39" s="283"/>
      <c r="O39" s="306">
        <f>SUM(D39:G39)</f>
        <v>0</v>
      </c>
      <c r="P39" s="307">
        <f>SUM(H39)</f>
        <v>0</v>
      </c>
      <c r="Q39" s="308">
        <f>SUM(D39:H39)</f>
        <v>0</v>
      </c>
      <c r="R39" s="283"/>
      <c r="S39" s="306">
        <f>SUM(I39:M39)</f>
        <v>0</v>
      </c>
      <c r="T39" s="309" t="str">
        <f>IF(Q39&lt;&gt;0,(S39-Q39)/Q39,"0")</f>
        <v>0</v>
      </c>
    </row>
    <row r="40" spans="2:20">
      <c r="B40" s="345" t="s">
        <v>284</v>
      </c>
      <c r="C40" s="363"/>
      <c r="D40" s="364"/>
      <c r="E40" s="365"/>
      <c r="F40" s="365"/>
      <c r="G40" s="365"/>
      <c r="H40" s="366"/>
      <c r="I40" s="365"/>
      <c r="J40" s="365"/>
      <c r="K40" s="365"/>
      <c r="L40" s="365"/>
      <c r="M40" s="366"/>
      <c r="N40" s="283"/>
      <c r="O40" s="364"/>
      <c r="P40" s="365"/>
      <c r="Q40" s="366"/>
      <c r="R40" s="283"/>
      <c r="S40" s="364"/>
      <c r="T40" s="366"/>
    </row>
    <row r="41" spans="2:20">
      <c r="B41" s="353" t="s">
        <v>312</v>
      </c>
      <c r="C41" s="354" t="s">
        <v>223</v>
      </c>
      <c r="D41" s="355"/>
      <c r="E41" s="356"/>
      <c r="F41" s="356"/>
      <c r="G41" s="356"/>
      <c r="H41" s="357"/>
      <c r="I41" s="358">
        <f t="shared" ref="I41:M42" si="15">I237-I260</f>
        <v>0</v>
      </c>
      <c r="J41" s="359">
        <f t="shared" si="15"/>
        <v>0</v>
      </c>
      <c r="K41" s="359">
        <f t="shared" si="15"/>
        <v>0</v>
      </c>
      <c r="L41" s="359">
        <f t="shared" si="15"/>
        <v>0</v>
      </c>
      <c r="M41" s="360">
        <f t="shared" si="15"/>
        <v>0</v>
      </c>
      <c r="N41" s="283"/>
      <c r="O41" s="327"/>
      <c r="P41" s="328"/>
      <c r="Q41" s="329"/>
      <c r="R41" s="283"/>
      <c r="S41" s="327"/>
      <c r="T41" s="330"/>
    </row>
    <row r="42" spans="2:20">
      <c r="B42" s="353" t="s">
        <v>313</v>
      </c>
      <c r="C42" s="354" t="s">
        <v>223</v>
      </c>
      <c r="D42" s="355"/>
      <c r="E42" s="356"/>
      <c r="F42" s="356"/>
      <c r="G42" s="356"/>
      <c r="H42" s="357"/>
      <c r="I42" s="358">
        <f t="shared" si="15"/>
        <v>0</v>
      </c>
      <c r="J42" s="359">
        <f t="shared" si="15"/>
        <v>0</v>
      </c>
      <c r="K42" s="359">
        <f t="shared" si="15"/>
        <v>0</v>
      </c>
      <c r="L42" s="359">
        <f t="shared" si="15"/>
        <v>0</v>
      </c>
      <c r="M42" s="360">
        <f t="shared" si="15"/>
        <v>0</v>
      </c>
      <c r="N42" s="283"/>
      <c r="O42" s="327"/>
      <c r="P42" s="328"/>
      <c r="Q42" s="329"/>
      <c r="R42" s="283"/>
      <c r="S42" s="327"/>
      <c r="T42" s="330"/>
    </row>
    <row r="43" spans="2:20" ht="13.5" thickBot="1">
      <c r="B43" s="368" t="s">
        <v>274</v>
      </c>
      <c r="C43" s="369" t="s">
        <v>223</v>
      </c>
      <c r="D43" s="338">
        <f>D239-D262</f>
        <v>0</v>
      </c>
      <c r="E43" s="370">
        <f>E239-E262</f>
        <v>0</v>
      </c>
      <c r="F43" s="370">
        <f>F239-F262</f>
        <v>0</v>
      </c>
      <c r="G43" s="370">
        <f>G239-G262</f>
        <v>0</v>
      </c>
      <c r="H43" s="340">
        <f>H239-H262</f>
        <v>0</v>
      </c>
      <c r="I43" s="370">
        <f>SUM(I41:I42)</f>
        <v>0</v>
      </c>
      <c r="J43" s="339">
        <f>SUM(J41:J42)</f>
        <v>0</v>
      </c>
      <c r="K43" s="339">
        <f>SUM(K41:K42)</f>
        <v>0</v>
      </c>
      <c r="L43" s="339">
        <f>SUM(L41:L42)</f>
        <v>0</v>
      </c>
      <c r="M43" s="340">
        <f>SUM(M41:M42)</f>
        <v>0</v>
      </c>
      <c r="N43" s="283"/>
      <c r="O43" s="306">
        <f>SUM(D43:G43)</f>
        <v>0</v>
      </c>
      <c r="P43" s="307">
        <f>SUM(H43)</f>
        <v>0</v>
      </c>
      <c r="Q43" s="308">
        <f>SUM(D43:H43)</f>
        <v>0</v>
      </c>
      <c r="R43" s="283"/>
      <c r="S43" s="306">
        <f>SUM(I43:M43)</f>
        <v>0</v>
      </c>
      <c r="T43" s="309" t="str">
        <f>IF(Q43&lt;&gt;0,(S43-Q43)/Q43,"0")</f>
        <v>0</v>
      </c>
    </row>
    <row r="44" spans="2:20">
      <c r="D44" s="280"/>
      <c r="E44" s="280"/>
      <c r="F44" s="280"/>
      <c r="G44" s="280"/>
      <c r="H44" s="280"/>
      <c r="I44" s="280"/>
      <c r="J44" s="280"/>
      <c r="K44" s="280"/>
      <c r="L44" s="280"/>
      <c r="M44" s="280"/>
      <c r="N44" s="280"/>
      <c r="O44" s="280"/>
      <c r="P44" s="280"/>
      <c r="Q44" s="280"/>
      <c r="R44" s="283"/>
      <c r="S44" s="280"/>
      <c r="T44" s="280"/>
    </row>
    <row r="45" spans="2:20">
      <c r="N45" s="283"/>
      <c r="O45" s="283"/>
      <c r="P45" s="283"/>
      <c r="Q45" s="283"/>
      <c r="R45" s="283"/>
      <c r="S45" s="283"/>
      <c r="T45" s="283"/>
    </row>
    <row r="46" spans="2:20">
      <c r="B46" s="284" t="s">
        <v>314</v>
      </c>
      <c r="N46" s="283"/>
      <c r="O46" s="283"/>
      <c r="P46" s="283"/>
      <c r="Q46" s="283"/>
      <c r="R46" s="283"/>
      <c r="S46" s="283"/>
      <c r="T46" s="283"/>
    </row>
    <row r="47" spans="2:20" ht="13.5" thickBot="1">
      <c r="B47" s="284"/>
      <c r="N47" s="283"/>
      <c r="O47" s="283"/>
      <c r="P47" s="283"/>
      <c r="Q47" s="283"/>
      <c r="R47" s="283"/>
      <c r="S47" s="283"/>
      <c r="T47" s="283"/>
    </row>
    <row r="48" spans="2:20">
      <c r="B48" s="1503"/>
      <c r="C48" s="1499" t="s">
        <v>210</v>
      </c>
      <c r="D48" s="286" t="s">
        <v>211</v>
      </c>
      <c r="E48" s="287"/>
      <c r="F48" s="287"/>
      <c r="G48" s="287"/>
      <c r="H48" s="288"/>
      <c r="I48" s="286" t="s">
        <v>212</v>
      </c>
      <c r="J48" s="289"/>
      <c r="K48" s="289"/>
      <c r="L48" s="289"/>
      <c r="M48" s="288"/>
      <c r="N48" s="283"/>
      <c r="O48" s="283"/>
      <c r="P48" s="283"/>
      <c r="Q48" s="283"/>
      <c r="R48" s="283"/>
      <c r="S48" s="283"/>
      <c r="T48" s="283"/>
    </row>
    <row r="49" spans="2:20">
      <c r="B49" s="1504"/>
      <c r="C49" s="1500"/>
      <c r="D49" s="294" t="s">
        <v>99</v>
      </c>
      <c r="E49" s="295" t="s">
        <v>100</v>
      </c>
      <c r="F49" s="295" t="s">
        <v>101</v>
      </c>
      <c r="G49" s="295" t="s">
        <v>102</v>
      </c>
      <c r="H49" s="296" t="s">
        <v>64</v>
      </c>
      <c r="I49" s="294" t="s">
        <v>213</v>
      </c>
      <c r="J49" s="295" t="s">
        <v>214</v>
      </c>
      <c r="K49" s="295" t="s">
        <v>215</v>
      </c>
      <c r="L49" s="295" t="s">
        <v>216</v>
      </c>
      <c r="M49" s="296" t="s">
        <v>217</v>
      </c>
      <c r="N49" s="283"/>
      <c r="O49" s="283"/>
      <c r="P49" s="283"/>
      <c r="Q49" s="283"/>
      <c r="R49" s="283"/>
      <c r="S49" s="283"/>
      <c r="T49" s="283"/>
    </row>
    <row r="50" spans="2:20">
      <c r="B50" s="371" t="s">
        <v>315</v>
      </c>
      <c r="C50" s="372"/>
      <c r="D50" s="373"/>
      <c r="E50" s="374"/>
      <c r="F50" s="374"/>
      <c r="G50" s="374"/>
      <c r="H50" s="375"/>
      <c r="I50" s="376"/>
      <c r="J50" s="377"/>
      <c r="K50" s="377"/>
      <c r="L50" s="377"/>
      <c r="M50" s="378"/>
      <c r="N50" s="379"/>
      <c r="O50" s="283"/>
      <c r="P50" s="283"/>
      <c r="Q50" s="283"/>
      <c r="R50" s="283"/>
      <c r="S50" s="283"/>
      <c r="T50" s="283"/>
    </row>
    <row r="51" spans="2:20">
      <c r="B51" s="380" t="s">
        <v>316</v>
      </c>
      <c r="C51" s="354"/>
      <c r="D51" s="381"/>
      <c r="E51" s="382"/>
      <c r="F51" s="382"/>
      <c r="G51" s="382"/>
      <c r="H51" s="383"/>
      <c r="I51" s="384"/>
      <c r="J51" s="385"/>
      <c r="K51" s="385"/>
      <c r="L51" s="385"/>
      <c r="M51" s="386"/>
      <c r="N51" s="379"/>
      <c r="O51" s="283"/>
      <c r="P51" s="283"/>
      <c r="Q51" s="283"/>
      <c r="R51" s="283"/>
      <c r="S51" s="283"/>
      <c r="T51" s="283"/>
    </row>
    <row r="52" spans="2:20">
      <c r="B52" s="387" t="s">
        <v>254</v>
      </c>
      <c r="C52" s="354" t="s">
        <v>255</v>
      </c>
      <c r="D52" s="388">
        <f t="shared" ref="D52:M56" si="16">D83+D114</f>
        <v>0</v>
      </c>
      <c r="E52" s="389">
        <f t="shared" si="16"/>
        <v>0</v>
      </c>
      <c r="F52" s="389">
        <f t="shared" si="16"/>
        <v>0</v>
      </c>
      <c r="G52" s="389">
        <f t="shared" si="16"/>
        <v>0</v>
      </c>
      <c r="H52" s="390">
        <f t="shared" si="16"/>
        <v>0</v>
      </c>
      <c r="I52" s="388">
        <f t="shared" si="16"/>
        <v>0</v>
      </c>
      <c r="J52" s="391">
        <f t="shared" si="16"/>
        <v>0</v>
      </c>
      <c r="K52" s="391">
        <f t="shared" si="16"/>
        <v>0</v>
      </c>
      <c r="L52" s="391">
        <f t="shared" si="16"/>
        <v>0</v>
      </c>
      <c r="M52" s="390">
        <f t="shared" si="16"/>
        <v>0</v>
      </c>
      <c r="N52" s="283"/>
      <c r="O52" s="283"/>
      <c r="P52" s="283"/>
      <c r="Q52" s="283"/>
      <c r="R52" s="283"/>
      <c r="S52" s="283"/>
      <c r="T52" s="283"/>
    </row>
    <row r="53" spans="2:20">
      <c r="B53" s="392" t="s">
        <v>317</v>
      </c>
      <c r="C53" s="354"/>
      <c r="D53" s="388">
        <f t="shared" si="16"/>
        <v>0</v>
      </c>
      <c r="E53" s="389">
        <f t="shared" si="16"/>
        <v>0</v>
      </c>
      <c r="F53" s="389">
        <f t="shared" si="16"/>
        <v>0</v>
      </c>
      <c r="G53" s="389">
        <f t="shared" si="16"/>
        <v>0</v>
      </c>
      <c r="H53" s="390">
        <f t="shared" si="16"/>
        <v>0</v>
      </c>
      <c r="I53" s="388">
        <f t="shared" si="16"/>
        <v>0</v>
      </c>
      <c r="J53" s="391">
        <f t="shared" si="16"/>
        <v>0</v>
      </c>
      <c r="K53" s="391">
        <f t="shared" si="16"/>
        <v>0</v>
      </c>
      <c r="L53" s="391">
        <f t="shared" si="16"/>
        <v>0</v>
      </c>
      <c r="M53" s="390">
        <f t="shared" si="16"/>
        <v>0</v>
      </c>
      <c r="N53" s="283"/>
      <c r="O53" s="283"/>
      <c r="P53" s="283"/>
      <c r="Q53" s="283"/>
      <c r="R53" s="283"/>
      <c r="S53" s="283"/>
      <c r="T53" s="283"/>
    </row>
    <row r="54" spans="2:20">
      <c r="B54" s="353" t="s">
        <v>318</v>
      </c>
      <c r="C54" s="354"/>
      <c r="D54" s="393"/>
      <c r="E54" s="394"/>
      <c r="F54" s="394"/>
      <c r="G54" s="394"/>
      <c r="H54" s="395"/>
      <c r="I54" s="388">
        <f t="shared" si="16"/>
        <v>0</v>
      </c>
      <c r="J54" s="391">
        <f t="shared" si="16"/>
        <v>0</v>
      </c>
      <c r="K54" s="391">
        <f t="shared" si="16"/>
        <v>0</v>
      </c>
      <c r="L54" s="391">
        <f t="shared" si="16"/>
        <v>0</v>
      </c>
      <c r="M54" s="390">
        <f t="shared" si="16"/>
        <v>0</v>
      </c>
      <c r="N54" s="283"/>
      <c r="O54" s="283"/>
      <c r="P54" s="283"/>
      <c r="Q54" s="283"/>
      <c r="R54" s="283"/>
      <c r="S54" s="283"/>
      <c r="T54" s="283"/>
    </row>
    <row r="55" spans="2:20">
      <c r="B55" s="353" t="s">
        <v>319</v>
      </c>
      <c r="C55" s="354" t="s">
        <v>255</v>
      </c>
      <c r="D55" s="393"/>
      <c r="E55" s="394"/>
      <c r="F55" s="394"/>
      <c r="G55" s="394"/>
      <c r="H55" s="395"/>
      <c r="I55" s="388">
        <f t="shared" si="16"/>
        <v>0</v>
      </c>
      <c r="J55" s="391">
        <f t="shared" si="16"/>
        <v>0</v>
      </c>
      <c r="K55" s="391">
        <f t="shared" si="16"/>
        <v>0</v>
      </c>
      <c r="L55" s="391">
        <f t="shared" si="16"/>
        <v>0</v>
      </c>
      <c r="M55" s="390">
        <f t="shared" si="16"/>
        <v>0</v>
      </c>
      <c r="N55" s="283"/>
      <c r="O55" s="283"/>
      <c r="P55" s="283"/>
      <c r="Q55" s="283"/>
      <c r="R55" s="283"/>
      <c r="S55" s="283"/>
      <c r="T55" s="283"/>
    </row>
    <row r="56" spans="2:20">
      <c r="B56" s="353" t="s">
        <v>320</v>
      </c>
      <c r="C56" s="354"/>
      <c r="D56" s="388">
        <f>D87+D118</f>
        <v>0</v>
      </c>
      <c r="E56" s="391">
        <f>E87+E118</f>
        <v>0</v>
      </c>
      <c r="F56" s="391">
        <f>F87+F118</f>
        <v>0</v>
      </c>
      <c r="G56" s="391">
        <f>G87+G118</f>
        <v>0</v>
      </c>
      <c r="H56" s="390">
        <f>H87+H118</f>
        <v>0</v>
      </c>
      <c r="I56" s="388">
        <f t="shared" si="16"/>
        <v>0</v>
      </c>
      <c r="J56" s="391">
        <f t="shared" si="16"/>
        <v>0</v>
      </c>
      <c r="K56" s="391">
        <f t="shared" si="16"/>
        <v>0</v>
      </c>
      <c r="L56" s="391">
        <f t="shared" si="16"/>
        <v>0</v>
      </c>
      <c r="M56" s="390">
        <f t="shared" si="16"/>
        <v>0</v>
      </c>
      <c r="N56" s="283"/>
      <c r="O56" s="283"/>
      <c r="P56" s="283"/>
      <c r="Q56" s="283"/>
      <c r="R56" s="283"/>
      <c r="S56" s="283"/>
      <c r="T56" s="283"/>
    </row>
    <row r="57" spans="2:20">
      <c r="B57" s="396" t="s">
        <v>321</v>
      </c>
      <c r="C57" s="354"/>
      <c r="D57" s="397"/>
      <c r="E57" s="398"/>
      <c r="F57" s="398"/>
      <c r="G57" s="398"/>
      <c r="H57" s="399"/>
      <c r="I57" s="400"/>
      <c r="J57" s="401"/>
      <c r="K57" s="401"/>
      <c r="L57" s="401"/>
      <c r="M57" s="402"/>
      <c r="N57" s="379"/>
      <c r="O57" s="283"/>
      <c r="P57" s="283"/>
      <c r="Q57" s="283"/>
      <c r="R57" s="283"/>
      <c r="S57" s="283"/>
      <c r="T57" s="283"/>
    </row>
    <row r="58" spans="2:20">
      <c r="B58" s="403" t="s">
        <v>254</v>
      </c>
      <c r="C58" s="354" t="s">
        <v>255</v>
      </c>
      <c r="D58" s="388">
        <f t="shared" ref="D58:M62" si="17">D89+D120</f>
        <v>0</v>
      </c>
      <c r="E58" s="389">
        <f t="shared" si="17"/>
        <v>0</v>
      </c>
      <c r="F58" s="389">
        <f t="shared" si="17"/>
        <v>0</v>
      </c>
      <c r="G58" s="389">
        <f t="shared" si="17"/>
        <v>0</v>
      </c>
      <c r="H58" s="390">
        <f t="shared" si="17"/>
        <v>0</v>
      </c>
      <c r="I58" s="388">
        <f t="shared" si="17"/>
        <v>0</v>
      </c>
      <c r="J58" s="391">
        <f t="shared" si="17"/>
        <v>0</v>
      </c>
      <c r="K58" s="391">
        <f t="shared" si="17"/>
        <v>0</v>
      </c>
      <c r="L58" s="391">
        <f t="shared" si="17"/>
        <v>0</v>
      </c>
      <c r="M58" s="390">
        <f t="shared" si="17"/>
        <v>0</v>
      </c>
      <c r="N58" s="283"/>
      <c r="O58" s="283"/>
      <c r="P58" s="283"/>
      <c r="Q58" s="283"/>
      <c r="R58" s="283"/>
      <c r="S58" s="283"/>
      <c r="T58" s="283"/>
    </row>
    <row r="59" spans="2:20">
      <c r="B59" s="404" t="s">
        <v>317</v>
      </c>
      <c r="C59" s="354"/>
      <c r="D59" s="388">
        <f t="shared" si="17"/>
        <v>0</v>
      </c>
      <c r="E59" s="389">
        <f t="shared" si="17"/>
        <v>0</v>
      </c>
      <c r="F59" s="389">
        <f t="shared" si="17"/>
        <v>0</v>
      </c>
      <c r="G59" s="389">
        <f t="shared" si="17"/>
        <v>0</v>
      </c>
      <c r="H59" s="390">
        <f t="shared" si="17"/>
        <v>0</v>
      </c>
      <c r="I59" s="388">
        <f t="shared" si="17"/>
        <v>0</v>
      </c>
      <c r="J59" s="391">
        <f t="shared" si="17"/>
        <v>0</v>
      </c>
      <c r="K59" s="391">
        <f t="shared" si="17"/>
        <v>0</v>
      </c>
      <c r="L59" s="391">
        <f t="shared" si="17"/>
        <v>0</v>
      </c>
      <c r="M59" s="390">
        <f t="shared" si="17"/>
        <v>0</v>
      </c>
      <c r="N59" s="283"/>
      <c r="O59" s="283"/>
      <c r="P59" s="283"/>
      <c r="Q59" s="283"/>
      <c r="R59" s="283"/>
      <c r="S59" s="283"/>
      <c r="T59" s="283"/>
    </row>
    <row r="60" spans="2:20">
      <c r="B60" s="353" t="s">
        <v>308</v>
      </c>
      <c r="C60" s="354"/>
      <c r="D60" s="405"/>
      <c r="E60" s="406"/>
      <c r="F60" s="406"/>
      <c r="G60" s="406"/>
      <c r="H60" s="407"/>
      <c r="I60" s="388">
        <f t="shared" si="17"/>
        <v>0</v>
      </c>
      <c r="J60" s="391">
        <f t="shared" si="17"/>
        <v>0</v>
      </c>
      <c r="K60" s="391">
        <f t="shared" si="17"/>
        <v>0</v>
      </c>
      <c r="L60" s="391">
        <f t="shared" si="17"/>
        <v>0</v>
      </c>
      <c r="M60" s="390">
        <f t="shared" si="17"/>
        <v>0</v>
      </c>
      <c r="N60" s="283"/>
      <c r="O60" s="283"/>
      <c r="P60" s="283"/>
      <c r="Q60" s="283"/>
      <c r="R60" s="283"/>
      <c r="S60" s="283"/>
      <c r="T60" s="283"/>
    </row>
    <row r="61" spans="2:20">
      <c r="B61" s="353" t="s">
        <v>309</v>
      </c>
      <c r="C61" s="354" t="s">
        <v>255</v>
      </c>
      <c r="D61" s="405"/>
      <c r="E61" s="406"/>
      <c r="F61" s="406"/>
      <c r="G61" s="406"/>
      <c r="H61" s="407"/>
      <c r="I61" s="388">
        <f t="shared" si="17"/>
        <v>0</v>
      </c>
      <c r="J61" s="391">
        <f t="shared" si="17"/>
        <v>0</v>
      </c>
      <c r="K61" s="391">
        <f t="shared" si="17"/>
        <v>0</v>
      </c>
      <c r="L61" s="391">
        <f t="shared" si="17"/>
        <v>0</v>
      </c>
      <c r="M61" s="390">
        <f t="shared" si="17"/>
        <v>0</v>
      </c>
      <c r="N61" s="283"/>
      <c r="O61" s="283"/>
      <c r="P61" s="283"/>
      <c r="Q61" s="283"/>
      <c r="R61" s="283"/>
      <c r="S61" s="283"/>
      <c r="T61" s="283"/>
    </row>
    <row r="62" spans="2:20">
      <c r="B62" s="353" t="s">
        <v>322</v>
      </c>
      <c r="C62" s="354"/>
      <c r="D62" s="388">
        <f>D93+D124</f>
        <v>0</v>
      </c>
      <c r="E62" s="391">
        <f>E93+E124</f>
        <v>0</v>
      </c>
      <c r="F62" s="391">
        <f>F93+F124</f>
        <v>0</v>
      </c>
      <c r="G62" s="391">
        <f>G93+G124</f>
        <v>0</v>
      </c>
      <c r="H62" s="390">
        <f>H93+H124</f>
        <v>0</v>
      </c>
      <c r="I62" s="388">
        <f t="shared" si="17"/>
        <v>0</v>
      </c>
      <c r="J62" s="391">
        <f t="shared" si="17"/>
        <v>0</v>
      </c>
      <c r="K62" s="391">
        <f t="shared" si="17"/>
        <v>0</v>
      </c>
      <c r="L62" s="391">
        <f t="shared" si="17"/>
        <v>0</v>
      </c>
      <c r="M62" s="390">
        <f t="shared" si="17"/>
        <v>0</v>
      </c>
      <c r="N62" s="283"/>
      <c r="O62" s="283"/>
      <c r="P62" s="283"/>
      <c r="Q62" s="283"/>
      <c r="R62" s="283"/>
      <c r="S62" s="283"/>
      <c r="T62" s="283"/>
    </row>
    <row r="63" spans="2:20">
      <c r="B63" s="396" t="s">
        <v>323</v>
      </c>
      <c r="C63" s="354"/>
      <c r="D63" s="397"/>
      <c r="E63" s="398"/>
      <c r="F63" s="398"/>
      <c r="G63" s="398"/>
      <c r="H63" s="399"/>
      <c r="I63" s="408"/>
      <c r="J63" s="409"/>
      <c r="K63" s="409"/>
      <c r="L63" s="409"/>
      <c r="M63" s="410"/>
      <c r="N63" s="379"/>
      <c r="O63" s="283"/>
      <c r="P63" s="283"/>
      <c r="Q63" s="283"/>
      <c r="R63" s="283"/>
      <c r="S63" s="283"/>
      <c r="T63" s="283"/>
    </row>
    <row r="64" spans="2:20">
      <c r="B64" s="403" t="s">
        <v>254</v>
      </c>
      <c r="C64" s="354" t="s">
        <v>255</v>
      </c>
      <c r="D64" s="388">
        <f t="shared" ref="D64:M68" si="18">D95+D126</f>
        <v>0</v>
      </c>
      <c r="E64" s="389">
        <f t="shared" si="18"/>
        <v>0</v>
      </c>
      <c r="F64" s="389">
        <f t="shared" si="18"/>
        <v>0</v>
      </c>
      <c r="G64" s="389">
        <f t="shared" si="18"/>
        <v>0</v>
      </c>
      <c r="H64" s="390">
        <f t="shared" si="18"/>
        <v>0</v>
      </c>
      <c r="I64" s="388">
        <f t="shared" si="18"/>
        <v>0</v>
      </c>
      <c r="J64" s="391">
        <f t="shared" si="18"/>
        <v>0</v>
      </c>
      <c r="K64" s="391">
        <f t="shared" si="18"/>
        <v>0</v>
      </c>
      <c r="L64" s="391">
        <f t="shared" si="18"/>
        <v>0</v>
      </c>
      <c r="M64" s="390">
        <f t="shared" si="18"/>
        <v>0</v>
      </c>
      <c r="N64" s="283"/>
      <c r="O64" s="283"/>
      <c r="P64" s="283"/>
      <c r="Q64" s="283"/>
      <c r="R64" s="283"/>
      <c r="S64" s="283"/>
      <c r="T64" s="283"/>
    </row>
    <row r="65" spans="1:20">
      <c r="B65" s="404" t="s">
        <v>317</v>
      </c>
      <c r="C65" s="354"/>
      <c r="D65" s="388">
        <f t="shared" si="18"/>
        <v>0</v>
      </c>
      <c r="E65" s="389">
        <f t="shared" si="18"/>
        <v>0</v>
      </c>
      <c r="F65" s="389">
        <f t="shared" si="18"/>
        <v>0</v>
      </c>
      <c r="G65" s="389">
        <f t="shared" si="18"/>
        <v>0</v>
      </c>
      <c r="H65" s="390">
        <f t="shared" si="18"/>
        <v>0</v>
      </c>
      <c r="I65" s="388">
        <f t="shared" si="18"/>
        <v>0</v>
      </c>
      <c r="J65" s="391">
        <f t="shared" si="18"/>
        <v>0</v>
      </c>
      <c r="K65" s="391">
        <f t="shared" si="18"/>
        <v>0</v>
      </c>
      <c r="L65" s="391">
        <f t="shared" si="18"/>
        <v>0</v>
      </c>
      <c r="M65" s="390">
        <f t="shared" si="18"/>
        <v>0</v>
      </c>
      <c r="N65" s="283"/>
      <c r="O65" s="283"/>
      <c r="P65" s="283"/>
      <c r="Q65" s="283"/>
      <c r="R65" s="283"/>
      <c r="S65" s="283"/>
      <c r="T65" s="283"/>
    </row>
    <row r="66" spans="1:20">
      <c r="B66" s="353" t="s">
        <v>310</v>
      </c>
      <c r="C66" s="354"/>
      <c r="D66" s="405"/>
      <c r="E66" s="406"/>
      <c r="F66" s="406"/>
      <c r="G66" s="406"/>
      <c r="H66" s="407"/>
      <c r="I66" s="388">
        <f t="shared" si="18"/>
        <v>0</v>
      </c>
      <c r="J66" s="391">
        <f t="shared" si="18"/>
        <v>0</v>
      </c>
      <c r="K66" s="391">
        <f t="shared" si="18"/>
        <v>0</v>
      </c>
      <c r="L66" s="391">
        <f t="shared" si="18"/>
        <v>0</v>
      </c>
      <c r="M66" s="390">
        <f t="shared" si="18"/>
        <v>0</v>
      </c>
      <c r="N66" s="283"/>
      <c r="O66" s="283"/>
      <c r="P66" s="283"/>
      <c r="Q66" s="283"/>
      <c r="R66" s="283"/>
      <c r="S66" s="283"/>
      <c r="T66" s="283"/>
    </row>
    <row r="67" spans="1:20">
      <c r="B67" s="353" t="s">
        <v>311</v>
      </c>
      <c r="C67" s="354" t="s">
        <v>255</v>
      </c>
      <c r="D67" s="405"/>
      <c r="E67" s="406"/>
      <c r="F67" s="406"/>
      <c r="G67" s="406"/>
      <c r="H67" s="407"/>
      <c r="I67" s="388">
        <f t="shared" si="18"/>
        <v>0</v>
      </c>
      <c r="J67" s="391">
        <f t="shared" si="18"/>
        <v>0</v>
      </c>
      <c r="K67" s="391">
        <f t="shared" si="18"/>
        <v>0</v>
      </c>
      <c r="L67" s="391">
        <f t="shared" si="18"/>
        <v>0</v>
      </c>
      <c r="M67" s="390">
        <f t="shared" si="18"/>
        <v>0</v>
      </c>
      <c r="N67" s="283"/>
      <c r="O67" s="283"/>
      <c r="P67" s="283"/>
      <c r="Q67" s="283"/>
      <c r="R67" s="283"/>
      <c r="S67" s="283"/>
      <c r="T67" s="283"/>
    </row>
    <row r="68" spans="1:20">
      <c r="B68" s="353" t="s">
        <v>324</v>
      </c>
      <c r="C68" s="354"/>
      <c r="D68" s="388">
        <f>D99+D130</f>
        <v>0</v>
      </c>
      <c r="E68" s="391">
        <f>E99+E130</f>
        <v>0</v>
      </c>
      <c r="F68" s="391">
        <f>F99+F130</f>
        <v>0</v>
      </c>
      <c r="G68" s="391">
        <f>G99+G130</f>
        <v>0</v>
      </c>
      <c r="H68" s="390">
        <f>H99+H130</f>
        <v>0</v>
      </c>
      <c r="I68" s="388">
        <f t="shared" si="18"/>
        <v>0</v>
      </c>
      <c r="J68" s="391">
        <f t="shared" si="18"/>
        <v>0</v>
      </c>
      <c r="K68" s="391">
        <f t="shared" si="18"/>
        <v>0</v>
      </c>
      <c r="L68" s="391">
        <f t="shared" si="18"/>
        <v>0</v>
      </c>
      <c r="M68" s="390">
        <f t="shared" si="18"/>
        <v>0</v>
      </c>
      <c r="N68" s="283"/>
      <c r="O68" s="283"/>
      <c r="P68" s="283"/>
      <c r="Q68" s="283"/>
      <c r="R68" s="283"/>
      <c r="S68" s="283"/>
      <c r="T68" s="283"/>
    </row>
    <row r="69" spans="1:20">
      <c r="B69" s="396" t="s">
        <v>325</v>
      </c>
      <c r="C69" s="354"/>
      <c r="D69" s="397"/>
      <c r="E69" s="398"/>
      <c r="F69" s="398"/>
      <c r="G69" s="398"/>
      <c r="H69" s="399"/>
      <c r="I69" s="408"/>
      <c r="J69" s="409"/>
      <c r="K69" s="409"/>
      <c r="L69" s="409"/>
      <c r="M69" s="410"/>
      <c r="N69" s="379"/>
      <c r="O69" s="283"/>
      <c r="P69" s="283"/>
      <c r="Q69" s="283"/>
      <c r="R69" s="283"/>
      <c r="S69" s="283"/>
      <c r="T69" s="283"/>
    </row>
    <row r="70" spans="1:20">
      <c r="B70" s="403" t="s">
        <v>254</v>
      </c>
      <c r="C70" s="354" t="s">
        <v>255</v>
      </c>
      <c r="D70" s="411">
        <f t="shared" ref="D70:M74" si="19">D101+D132</f>
        <v>0</v>
      </c>
      <c r="E70" s="412">
        <f t="shared" si="19"/>
        <v>0</v>
      </c>
      <c r="F70" s="412">
        <f t="shared" si="19"/>
        <v>0</v>
      </c>
      <c r="G70" s="412">
        <f t="shared" si="19"/>
        <v>0</v>
      </c>
      <c r="H70" s="413">
        <f t="shared" si="19"/>
        <v>0</v>
      </c>
      <c r="I70" s="411">
        <f t="shared" si="19"/>
        <v>0</v>
      </c>
      <c r="J70" s="414">
        <f t="shared" si="19"/>
        <v>0</v>
      </c>
      <c r="K70" s="414">
        <f t="shared" si="19"/>
        <v>0</v>
      </c>
      <c r="L70" s="414">
        <f t="shared" si="19"/>
        <v>0</v>
      </c>
      <c r="M70" s="413">
        <f t="shared" si="19"/>
        <v>0</v>
      </c>
      <c r="N70" s="283"/>
      <c r="O70" s="283"/>
      <c r="P70" s="283"/>
      <c r="Q70" s="283"/>
      <c r="R70" s="283"/>
      <c r="S70" s="283"/>
      <c r="T70" s="283"/>
    </row>
    <row r="71" spans="1:20">
      <c r="B71" s="404" t="s">
        <v>317</v>
      </c>
      <c r="C71" s="354"/>
      <c r="D71" s="411">
        <f t="shared" si="19"/>
        <v>0</v>
      </c>
      <c r="E71" s="412">
        <f t="shared" si="19"/>
        <v>0</v>
      </c>
      <c r="F71" s="412">
        <f t="shared" si="19"/>
        <v>0</v>
      </c>
      <c r="G71" s="412">
        <f t="shared" si="19"/>
        <v>0</v>
      </c>
      <c r="H71" s="413">
        <f t="shared" si="19"/>
        <v>0</v>
      </c>
      <c r="I71" s="411">
        <f t="shared" si="19"/>
        <v>0</v>
      </c>
      <c r="J71" s="414">
        <f t="shared" si="19"/>
        <v>0</v>
      </c>
      <c r="K71" s="414">
        <f t="shared" si="19"/>
        <v>0</v>
      </c>
      <c r="L71" s="414">
        <f t="shared" si="19"/>
        <v>0</v>
      </c>
      <c r="M71" s="413">
        <f t="shared" si="19"/>
        <v>0</v>
      </c>
      <c r="N71" s="283"/>
      <c r="O71" s="283"/>
      <c r="P71" s="283"/>
      <c r="Q71" s="283"/>
      <c r="R71" s="283"/>
      <c r="S71" s="283"/>
      <c r="T71" s="283"/>
    </row>
    <row r="72" spans="1:20">
      <c r="B72" s="353" t="s">
        <v>312</v>
      </c>
      <c r="C72" s="354"/>
      <c r="D72" s="415"/>
      <c r="E72" s="416"/>
      <c r="F72" s="416"/>
      <c r="G72" s="416"/>
      <c r="H72" s="417"/>
      <c r="I72" s="411">
        <f t="shared" si="19"/>
        <v>0</v>
      </c>
      <c r="J72" s="414">
        <f t="shared" si="19"/>
        <v>0</v>
      </c>
      <c r="K72" s="414">
        <f t="shared" si="19"/>
        <v>0</v>
      </c>
      <c r="L72" s="414">
        <f t="shared" si="19"/>
        <v>0</v>
      </c>
      <c r="M72" s="413">
        <f t="shared" si="19"/>
        <v>0</v>
      </c>
      <c r="N72" s="283"/>
      <c r="O72" s="283"/>
      <c r="P72" s="283"/>
      <c r="Q72" s="283"/>
      <c r="R72" s="283"/>
      <c r="S72" s="283"/>
      <c r="T72" s="283"/>
    </row>
    <row r="73" spans="1:20">
      <c r="B73" s="353" t="s">
        <v>313</v>
      </c>
      <c r="C73" s="354" t="s">
        <v>255</v>
      </c>
      <c r="D73" s="415"/>
      <c r="E73" s="416"/>
      <c r="F73" s="416"/>
      <c r="G73" s="416"/>
      <c r="H73" s="417"/>
      <c r="I73" s="411">
        <f t="shared" si="19"/>
        <v>0</v>
      </c>
      <c r="J73" s="414">
        <f t="shared" si="19"/>
        <v>0</v>
      </c>
      <c r="K73" s="414">
        <f t="shared" si="19"/>
        <v>0</v>
      </c>
      <c r="L73" s="414">
        <f t="shared" si="19"/>
        <v>0</v>
      </c>
      <c r="M73" s="413">
        <f t="shared" si="19"/>
        <v>0</v>
      </c>
      <c r="N73" s="283"/>
      <c r="O73" s="283"/>
      <c r="P73" s="283"/>
      <c r="Q73" s="283"/>
      <c r="R73" s="283"/>
      <c r="S73" s="283"/>
      <c r="T73" s="283"/>
    </row>
    <row r="74" spans="1:20">
      <c r="B74" s="353" t="s">
        <v>326</v>
      </c>
      <c r="C74" s="354"/>
      <c r="D74" s="411">
        <f>D105+D136</f>
        <v>0</v>
      </c>
      <c r="E74" s="412">
        <f>E105+E136</f>
        <v>0</v>
      </c>
      <c r="F74" s="412">
        <f>F105+F136</f>
        <v>0</v>
      </c>
      <c r="G74" s="412">
        <f>G105+G136</f>
        <v>0</v>
      </c>
      <c r="H74" s="413">
        <f>H105+H136</f>
        <v>0</v>
      </c>
      <c r="I74" s="411">
        <f t="shared" si="19"/>
        <v>0</v>
      </c>
      <c r="J74" s="414">
        <f t="shared" si="19"/>
        <v>0</v>
      </c>
      <c r="K74" s="414">
        <f t="shared" si="19"/>
        <v>0</v>
      </c>
      <c r="L74" s="414">
        <f t="shared" si="19"/>
        <v>0</v>
      </c>
      <c r="M74" s="413">
        <f t="shared" si="19"/>
        <v>0</v>
      </c>
      <c r="N74" s="283"/>
      <c r="O74" s="283"/>
      <c r="P74" s="283"/>
      <c r="Q74" s="283"/>
      <c r="R74" s="283"/>
      <c r="S74" s="283"/>
      <c r="T74" s="283"/>
    </row>
    <row r="75" spans="1:20" ht="13.5" thickBot="1">
      <c r="B75" s="418" t="s">
        <v>261</v>
      </c>
      <c r="C75" s="369" t="s">
        <v>255</v>
      </c>
      <c r="D75" s="419">
        <f t="shared" ref="D75:M75" si="20">SUM(D52:D55,D58:D61,D64:D67,D70:D73)</f>
        <v>0</v>
      </c>
      <c r="E75" s="420">
        <f t="shared" si="20"/>
        <v>0</v>
      </c>
      <c r="F75" s="420">
        <f t="shared" si="20"/>
        <v>0</v>
      </c>
      <c r="G75" s="420">
        <f t="shared" si="20"/>
        <v>0</v>
      </c>
      <c r="H75" s="421">
        <f t="shared" si="20"/>
        <v>0</v>
      </c>
      <c r="I75" s="419">
        <f t="shared" si="20"/>
        <v>0</v>
      </c>
      <c r="J75" s="420">
        <f t="shared" si="20"/>
        <v>0</v>
      </c>
      <c r="K75" s="420">
        <f t="shared" si="20"/>
        <v>0</v>
      </c>
      <c r="L75" s="420">
        <f t="shared" si="20"/>
        <v>0</v>
      </c>
      <c r="M75" s="421">
        <f t="shared" si="20"/>
        <v>0</v>
      </c>
      <c r="N75" s="422"/>
      <c r="O75" s="283"/>
      <c r="P75" s="283"/>
      <c r="Q75" s="283"/>
      <c r="R75" s="283"/>
      <c r="S75" s="283"/>
      <c r="T75" s="283"/>
    </row>
    <row r="76" spans="1:20">
      <c r="B76" s="423"/>
      <c r="C76" s="424"/>
      <c r="D76" s="283"/>
      <c r="E76" s="283"/>
      <c r="F76" s="283"/>
      <c r="G76" s="283"/>
      <c r="H76" s="283"/>
      <c r="I76" s="283"/>
      <c r="J76" s="283"/>
      <c r="K76" s="283"/>
      <c r="L76" s="283"/>
      <c r="M76" s="283"/>
      <c r="N76" s="283"/>
      <c r="O76" s="283"/>
      <c r="P76" s="283"/>
      <c r="Q76" s="283"/>
      <c r="R76" s="283"/>
      <c r="S76" s="283"/>
      <c r="T76" s="283"/>
    </row>
    <row r="77" spans="1:20">
      <c r="B77" s="284" t="s">
        <v>327</v>
      </c>
      <c r="N77" s="283"/>
      <c r="O77" s="283"/>
      <c r="P77" s="283"/>
      <c r="Q77" s="283"/>
      <c r="R77" s="283"/>
      <c r="S77" s="283"/>
      <c r="T77" s="283"/>
    </row>
    <row r="78" spans="1:20" ht="13.5" thickBot="1">
      <c r="B78" s="284"/>
      <c r="N78" s="283"/>
      <c r="O78" s="283"/>
      <c r="P78" s="283"/>
      <c r="Q78" s="283"/>
      <c r="R78" s="283"/>
      <c r="S78" s="283"/>
      <c r="T78" s="283"/>
    </row>
    <row r="79" spans="1:20">
      <c r="A79" s="425"/>
      <c r="B79" s="1503"/>
      <c r="C79" s="1499" t="s">
        <v>210</v>
      </c>
      <c r="D79" s="286" t="s">
        <v>211</v>
      </c>
      <c r="E79" s="287"/>
      <c r="F79" s="287"/>
      <c r="G79" s="287"/>
      <c r="H79" s="288"/>
      <c r="I79" s="286" t="s">
        <v>212</v>
      </c>
      <c r="J79" s="289"/>
      <c r="K79" s="289"/>
      <c r="L79" s="288"/>
      <c r="M79" s="288"/>
      <c r="N79" s="283"/>
      <c r="O79" s="283"/>
      <c r="P79" s="283"/>
      <c r="Q79" s="283"/>
      <c r="R79" s="283"/>
      <c r="S79" s="283"/>
      <c r="T79" s="283"/>
    </row>
    <row r="80" spans="1:20">
      <c r="A80" s="425"/>
      <c r="B80" s="1504"/>
      <c r="C80" s="1500"/>
      <c r="D80" s="294" t="s">
        <v>99</v>
      </c>
      <c r="E80" s="295" t="s">
        <v>100</v>
      </c>
      <c r="F80" s="295" t="s">
        <v>101</v>
      </c>
      <c r="G80" s="295" t="s">
        <v>102</v>
      </c>
      <c r="H80" s="296" t="s">
        <v>64</v>
      </c>
      <c r="I80" s="294" t="s">
        <v>213</v>
      </c>
      <c r="J80" s="295" t="s">
        <v>214</v>
      </c>
      <c r="K80" s="295" t="s">
        <v>215</v>
      </c>
      <c r="L80" s="299" t="s">
        <v>216</v>
      </c>
      <c r="M80" s="426" t="s">
        <v>217</v>
      </c>
      <c r="N80" s="283"/>
      <c r="O80" s="283"/>
      <c r="P80" s="283"/>
      <c r="Q80" s="283"/>
      <c r="R80" s="283"/>
      <c r="S80" s="283"/>
      <c r="T80" s="283"/>
    </row>
    <row r="81" spans="1:20">
      <c r="A81" s="425"/>
      <c r="B81" s="371" t="s">
        <v>315</v>
      </c>
      <c r="C81" s="372"/>
      <c r="D81" s="373"/>
      <c r="E81" s="374"/>
      <c r="F81" s="374"/>
      <c r="G81" s="374"/>
      <c r="H81" s="375"/>
      <c r="I81" s="376"/>
      <c r="J81" s="377"/>
      <c r="K81" s="377"/>
      <c r="L81" s="427"/>
      <c r="M81" s="378"/>
      <c r="N81" s="379"/>
      <c r="O81" s="283"/>
      <c r="P81" s="283"/>
      <c r="Q81" s="283"/>
      <c r="R81" s="283"/>
      <c r="S81" s="283"/>
      <c r="T81" s="283"/>
    </row>
    <row r="82" spans="1:20">
      <c r="A82" s="425"/>
      <c r="B82" s="380" t="s">
        <v>316</v>
      </c>
      <c r="C82" s="428"/>
      <c r="D82" s="381"/>
      <c r="E82" s="382"/>
      <c r="F82" s="382"/>
      <c r="G82" s="382"/>
      <c r="H82" s="383"/>
      <c r="I82" s="384"/>
      <c r="J82" s="385"/>
      <c r="K82" s="385"/>
      <c r="L82" s="429"/>
      <c r="M82" s="386"/>
      <c r="N82" s="379"/>
      <c r="O82" s="283"/>
      <c r="P82" s="283"/>
      <c r="Q82" s="283"/>
      <c r="R82" s="283"/>
      <c r="S82" s="283"/>
      <c r="T82" s="283"/>
    </row>
    <row r="83" spans="1:20">
      <c r="A83" s="425"/>
      <c r="B83" s="387" t="s">
        <v>254</v>
      </c>
      <c r="C83" s="354" t="s">
        <v>255</v>
      </c>
      <c r="D83" s="430"/>
      <c r="E83" s="431"/>
      <c r="F83" s="431"/>
      <c r="G83" s="431"/>
      <c r="H83" s="432"/>
      <c r="I83" s="430"/>
      <c r="J83" s="433"/>
      <c r="K83" s="433"/>
      <c r="L83" s="433"/>
      <c r="M83" s="434"/>
      <c r="N83" s="283"/>
      <c r="O83" s="283"/>
      <c r="P83" s="283"/>
      <c r="Q83" s="283"/>
      <c r="R83" s="283"/>
      <c r="S83" s="283"/>
      <c r="T83" s="283"/>
    </row>
    <row r="84" spans="1:20">
      <c r="A84" s="425"/>
      <c r="B84" s="392" t="s">
        <v>317</v>
      </c>
      <c r="C84" s="354"/>
      <c r="D84" s="430"/>
      <c r="E84" s="431"/>
      <c r="F84" s="431"/>
      <c r="G84" s="431"/>
      <c r="H84" s="432"/>
      <c r="I84" s="430"/>
      <c r="J84" s="433"/>
      <c r="K84" s="433"/>
      <c r="L84" s="433"/>
      <c r="M84" s="434"/>
      <c r="N84" s="283"/>
      <c r="O84" s="283"/>
      <c r="P84" s="283"/>
      <c r="Q84" s="283"/>
      <c r="R84" s="283"/>
      <c r="S84" s="283"/>
      <c r="T84" s="283"/>
    </row>
    <row r="85" spans="1:20">
      <c r="A85" s="425"/>
      <c r="B85" s="353" t="s">
        <v>318</v>
      </c>
      <c r="C85" s="354"/>
      <c r="D85" s="405"/>
      <c r="E85" s="406"/>
      <c r="F85" s="406"/>
      <c r="G85" s="406"/>
      <c r="H85" s="407"/>
      <c r="I85" s="430"/>
      <c r="J85" s="433"/>
      <c r="K85" s="433"/>
      <c r="L85" s="433"/>
      <c r="M85" s="434"/>
      <c r="N85" s="283"/>
      <c r="O85" s="283"/>
      <c r="P85" s="283"/>
      <c r="Q85" s="283"/>
      <c r="R85" s="283"/>
      <c r="S85" s="283"/>
      <c r="T85" s="283"/>
    </row>
    <row r="86" spans="1:20">
      <c r="A86" s="425"/>
      <c r="B86" s="353" t="s">
        <v>319</v>
      </c>
      <c r="C86" s="354" t="s">
        <v>255</v>
      </c>
      <c r="D86" s="405"/>
      <c r="E86" s="406"/>
      <c r="F86" s="406"/>
      <c r="G86" s="406"/>
      <c r="H86" s="407"/>
      <c r="I86" s="430"/>
      <c r="J86" s="433"/>
      <c r="K86" s="433"/>
      <c r="L86" s="433"/>
      <c r="M86" s="434"/>
      <c r="N86" s="283"/>
      <c r="O86" s="283"/>
      <c r="P86" s="283"/>
      <c r="Q86" s="283"/>
      <c r="R86" s="283"/>
      <c r="S86" s="283"/>
      <c r="T86" s="283"/>
    </row>
    <row r="87" spans="1:20">
      <c r="A87" s="425"/>
      <c r="B87" s="353" t="s">
        <v>320</v>
      </c>
      <c r="C87" s="354"/>
      <c r="D87" s="430"/>
      <c r="E87" s="433"/>
      <c r="F87" s="433"/>
      <c r="G87" s="433"/>
      <c r="H87" s="432"/>
      <c r="I87" s="435">
        <f>SUM(I85:I86)</f>
        <v>0</v>
      </c>
      <c r="J87" s="436">
        <f>SUM(J85:J86)</f>
        <v>0</v>
      </c>
      <c r="K87" s="436">
        <f>SUM(K85:K86)</f>
        <v>0</v>
      </c>
      <c r="L87" s="436">
        <f>SUM(L85:L86)</f>
        <v>0</v>
      </c>
      <c r="M87" s="437">
        <f>SUM(M85:M86)</f>
        <v>0</v>
      </c>
      <c r="N87" s="283"/>
      <c r="O87" s="283"/>
      <c r="P87" s="283"/>
      <c r="Q87" s="283"/>
      <c r="R87" s="283"/>
      <c r="S87" s="283"/>
      <c r="T87" s="283"/>
    </row>
    <row r="88" spans="1:20">
      <c r="A88" s="425"/>
      <c r="B88" s="396" t="s">
        <v>328</v>
      </c>
      <c r="C88" s="354"/>
      <c r="D88" s="397"/>
      <c r="E88" s="398"/>
      <c r="F88" s="398"/>
      <c r="G88" s="398"/>
      <c r="H88" s="399"/>
      <c r="I88" s="400"/>
      <c r="J88" s="401"/>
      <c r="K88" s="401"/>
      <c r="L88" s="438"/>
      <c r="M88" s="402"/>
      <c r="N88" s="379"/>
      <c r="O88" s="283"/>
      <c r="P88" s="283"/>
      <c r="Q88" s="283"/>
      <c r="R88" s="283"/>
      <c r="S88" s="283"/>
      <c r="T88" s="283"/>
    </row>
    <row r="89" spans="1:20">
      <c r="A89" s="425"/>
      <c r="B89" s="403" t="s">
        <v>254</v>
      </c>
      <c r="C89" s="354" t="s">
        <v>255</v>
      </c>
      <c r="D89" s="430"/>
      <c r="E89" s="431"/>
      <c r="F89" s="431"/>
      <c r="G89" s="431"/>
      <c r="H89" s="432"/>
      <c r="I89" s="430"/>
      <c r="J89" s="433"/>
      <c r="K89" s="433"/>
      <c r="L89" s="433"/>
      <c r="M89" s="434"/>
      <c r="N89" s="283"/>
      <c r="O89" s="283"/>
      <c r="P89" s="283"/>
      <c r="Q89" s="283"/>
      <c r="R89" s="283"/>
      <c r="S89" s="283"/>
      <c r="T89" s="283"/>
    </row>
    <row r="90" spans="1:20">
      <c r="A90" s="425"/>
      <c r="B90" s="404" t="s">
        <v>317</v>
      </c>
      <c r="C90" s="354"/>
      <c r="D90" s="430"/>
      <c r="E90" s="431"/>
      <c r="F90" s="431"/>
      <c r="G90" s="431"/>
      <c r="H90" s="432"/>
      <c r="I90" s="430"/>
      <c r="J90" s="433"/>
      <c r="K90" s="433"/>
      <c r="L90" s="433"/>
      <c r="M90" s="434"/>
      <c r="N90" s="283"/>
      <c r="O90" s="283"/>
      <c r="P90" s="283"/>
      <c r="Q90" s="283"/>
      <c r="R90" s="283"/>
      <c r="S90" s="283"/>
      <c r="T90" s="283"/>
    </row>
    <row r="91" spans="1:20">
      <c r="A91" s="425"/>
      <c r="B91" s="353" t="s">
        <v>308</v>
      </c>
      <c r="C91" s="354"/>
      <c r="D91" s="405"/>
      <c r="E91" s="406"/>
      <c r="F91" s="406"/>
      <c r="G91" s="406"/>
      <c r="H91" s="407"/>
      <c r="I91" s="430"/>
      <c r="J91" s="433"/>
      <c r="K91" s="433"/>
      <c r="L91" s="433"/>
      <c r="M91" s="434"/>
      <c r="N91" s="283"/>
      <c r="O91" s="283"/>
      <c r="P91" s="283"/>
      <c r="Q91" s="283"/>
      <c r="R91" s="283"/>
      <c r="S91" s="283"/>
      <c r="T91" s="283"/>
    </row>
    <row r="92" spans="1:20">
      <c r="A92" s="425"/>
      <c r="B92" s="353" t="s">
        <v>309</v>
      </c>
      <c r="C92" s="354" t="s">
        <v>255</v>
      </c>
      <c r="D92" s="405"/>
      <c r="E92" s="406"/>
      <c r="F92" s="406"/>
      <c r="G92" s="406"/>
      <c r="H92" s="407"/>
      <c r="I92" s="430"/>
      <c r="J92" s="433"/>
      <c r="K92" s="433"/>
      <c r="L92" s="433"/>
      <c r="M92" s="434"/>
      <c r="N92" s="283"/>
      <c r="O92" s="283"/>
      <c r="P92" s="283"/>
      <c r="Q92" s="283"/>
      <c r="R92" s="283"/>
      <c r="S92" s="283"/>
      <c r="T92" s="283"/>
    </row>
    <row r="93" spans="1:20">
      <c r="A93" s="425"/>
      <c r="B93" s="353" t="s">
        <v>322</v>
      </c>
      <c r="C93" s="354"/>
      <c r="D93" s="430"/>
      <c r="E93" s="433"/>
      <c r="F93" s="433"/>
      <c r="G93" s="433"/>
      <c r="H93" s="432"/>
      <c r="I93" s="435">
        <f>SUM(I91:I92)</f>
        <v>0</v>
      </c>
      <c r="J93" s="435">
        <f>SUM(J91:J92)</f>
        <v>0</v>
      </c>
      <c r="K93" s="435">
        <f>SUM(K91:K92)</f>
        <v>0</v>
      </c>
      <c r="L93" s="435">
        <f>SUM(L91:L92)</f>
        <v>0</v>
      </c>
      <c r="M93" s="435">
        <f>SUM(M91:M92)</f>
        <v>0</v>
      </c>
      <c r="N93" s="283"/>
      <c r="O93" s="283"/>
      <c r="P93" s="283"/>
      <c r="Q93" s="283"/>
      <c r="R93" s="283"/>
      <c r="S93" s="283"/>
      <c r="T93" s="283"/>
    </row>
    <row r="94" spans="1:20">
      <c r="A94" s="425"/>
      <c r="B94" s="396" t="s">
        <v>329</v>
      </c>
      <c r="C94" s="354"/>
      <c r="D94" s="397"/>
      <c r="E94" s="398"/>
      <c r="F94" s="398"/>
      <c r="G94" s="398"/>
      <c r="H94" s="399"/>
      <c r="I94" s="400"/>
      <c r="J94" s="401"/>
      <c r="K94" s="401"/>
      <c r="L94" s="438"/>
      <c r="M94" s="402"/>
      <c r="N94" s="379"/>
      <c r="O94" s="283"/>
      <c r="P94" s="283"/>
      <c r="Q94" s="283"/>
      <c r="R94" s="283"/>
      <c r="S94" s="283"/>
      <c r="T94" s="283"/>
    </row>
    <row r="95" spans="1:20">
      <c r="A95" s="425"/>
      <c r="B95" s="403" t="s">
        <v>254</v>
      </c>
      <c r="C95" s="354" t="s">
        <v>255</v>
      </c>
      <c r="D95" s="430"/>
      <c r="E95" s="431"/>
      <c r="F95" s="431"/>
      <c r="G95" s="431"/>
      <c r="H95" s="432"/>
      <c r="I95" s="430"/>
      <c r="J95" s="433"/>
      <c r="K95" s="433"/>
      <c r="L95" s="433"/>
      <c r="M95" s="434"/>
      <c r="N95" s="283"/>
      <c r="O95" s="283"/>
      <c r="P95" s="283"/>
      <c r="Q95" s="283"/>
      <c r="R95" s="283"/>
      <c r="S95" s="283"/>
      <c r="T95" s="283"/>
    </row>
    <row r="96" spans="1:20">
      <c r="A96" s="425"/>
      <c r="B96" s="404" t="s">
        <v>317</v>
      </c>
      <c r="C96" s="354"/>
      <c r="D96" s="430"/>
      <c r="E96" s="431"/>
      <c r="F96" s="431"/>
      <c r="G96" s="431"/>
      <c r="H96" s="432"/>
      <c r="I96" s="430"/>
      <c r="J96" s="433"/>
      <c r="K96" s="433"/>
      <c r="L96" s="433"/>
      <c r="M96" s="434"/>
      <c r="N96" s="283"/>
      <c r="O96" s="283"/>
      <c r="P96" s="283"/>
      <c r="Q96" s="283"/>
      <c r="R96" s="283"/>
      <c r="S96" s="283"/>
      <c r="T96" s="283"/>
    </row>
    <row r="97" spans="1:20">
      <c r="A97" s="425"/>
      <c r="B97" s="353" t="s">
        <v>310</v>
      </c>
      <c r="C97" s="354"/>
      <c r="D97" s="393"/>
      <c r="E97" s="394"/>
      <c r="F97" s="394"/>
      <c r="G97" s="394"/>
      <c r="H97" s="395"/>
      <c r="I97" s="430"/>
      <c r="J97" s="433"/>
      <c r="K97" s="433"/>
      <c r="L97" s="433"/>
      <c r="M97" s="434"/>
      <c r="N97" s="283"/>
      <c r="O97" s="283"/>
      <c r="P97" s="283"/>
      <c r="Q97" s="283"/>
      <c r="R97" s="283"/>
      <c r="S97" s="283"/>
      <c r="T97" s="283"/>
    </row>
    <row r="98" spans="1:20">
      <c r="A98" s="425"/>
      <c r="B98" s="353" t="s">
        <v>311</v>
      </c>
      <c r="C98" s="354" t="s">
        <v>255</v>
      </c>
      <c r="D98" s="393"/>
      <c r="E98" s="394"/>
      <c r="F98" s="394"/>
      <c r="G98" s="394"/>
      <c r="H98" s="395"/>
      <c r="I98" s="430"/>
      <c r="J98" s="433"/>
      <c r="K98" s="433"/>
      <c r="L98" s="433"/>
      <c r="M98" s="434"/>
      <c r="N98" s="283"/>
      <c r="O98" s="283"/>
      <c r="P98" s="283"/>
      <c r="Q98" s="283"/>
      <c r="R98" s="283"/>
      <c r="S98" s="283"/>
      <c r="T98" s="283"/>
    </row>
    <row r="99" spans="1:20">
      <c r="A99" s="425"/>
      <c r="B99" s="353" t="s">
        <v>324</v>
      </c>
      <c r="C99" s="354"/>
      <c r="D99" s="430"/>
      <c r="E99" s="433"/>
      <c r="F99" s="433"/>
      <c r="G99" s="433"/>
      <c r="H99" s="432"/>
      <c r="I99" s="435">
        <f>SUM(I97:I98)</f>
        <v>0</v>
      </c>
      <c r="J99" s="435">
        <f>SUM(J97:J98)</f>
        <v>0</v>
      </c>
      <c r="K99" s="435">
        <f>SUM(K97:K98)</f>
        <v>0</v>
      </c>
      <c r="L99" s="435">
        <f>SUM(L97:L98)</f>
        <v>0</v>
      </c>
      <c r="M99" s="435">
        <f>SUM(M97:M98)</f>
        <v>0</v>
      </c>
      <c r="N99" s="283"/>
      <c r="O99" s="283"/>
      <c r="P99" s="283"/>
      <c r="Q99" s="283"/>
      <c r="R99" s="283"/>
      <c r="S99" s="283"/>
      <c r="T99" s="283"/>
    </row>
    <row r="100" spans="1:20">
      <c r="A100" s="425"/>
      <c r="B100" s="396" t="s">
        <v>330</v>
      </c>
      <c r="C100" s="354"/>
      <c r="D100" s="397"/>
      <c r="E100" s="398"/>
      <c r="F100" s="398"/>
      <c r="G100" s="398"/>
      <c r="H100" s="399"/>
      <c r="I100" s="400"/>
      <c r="J100" s="401"/>
      <c r="K100" s="401"/>
      <c r="L100" s="438"/>
      <c r="M100" s="402"/>
      <c r="N100" s="379"/>
      <c r="O100" s="283"/>
      <c r="P100" s="283"/>
      <c r="Q100" s="283"/>
      <c r="R100" s="283"/>
      <c r="S100" s="283"/>
      <c r="T100" s="283"/>
    </row>
    <row r="101" spans="1:20">
      <c r="A101" s="425"/>
      <c r="B101" s="403" t="s">
        <v>254</v>
      </c>
      <c r="C101" s="354" t="s">
        <v>255</v>
      </c>
      <c r="D101" s="439"/>
      <c r="E101" s="440"/>
      <c r="F101" s="440"/>
      <c r="G101" s="440"/>
      <c r="H101" s="441"/>
      <c r="I101" s="439"/>
      <c r="J101" s="442"/>
      <c r="K101" s="442"/>
      <c r="L101" s="442"/>
      <c r="M101" s="443"/>
      <c r="N101" s="283"/>
      <c r="O101" s="283"/>
      <c r="P101" s="283"/>
      <c r="Q101" s="283"/>
      <c r="R101" s="283"/>
      <c r="S101" s="283"/>
      <c r="T101" s="283"/>
    </row>
    <row r="102" spans="1:20">
      <c r="A102" s="425"/>
      <c r="B102" s="404" t="s">
        <v>317</v>
      </c>
      <c r="C102" s="354"/>
      <c r="D102" s="439"/>
      <c r="E102" s="440"/>
      <c r="F102" s="440"/>
      <c r="G102" s="440"/>
      <c r="H102" s="441"/>
      <c r="I102" s="439"/>
      <c r="J102" s="442"/>
      <c r="K102" s="442"/>
      <c r="L102" s="442"/>
      <c r="M102" s="443"/>
      <c r="N102" s="283"/>
      <c r="O102" s="283"/>
      <c r="P102" s="283"/>
      <c r="Q102" s="283"/>
      <c r="R102" s="283"/>
      <c r="S102" s="283"/>
      <c r="T102" s="283"/>
    </row>
    <row r="103" spans="1:20">
      <c r="A103" s="425"/>
      <c r="B103" s="353" t="s">
        <v>312</v>
      </c>
      <c r="C103" s="354"/>
      <c r="D103" s="444"/>
      <c r="E103" s="445"/>
      <c r="F103" s="445"/>
      <c r="G103" s="445"/>
      <c r="H103" s="446"/>
      <c r="I103" s="439"/>
      <c r="J103" s="442"/>
      <c r="K103" s="442"/>
      <c r="L103" s="442"/>
      <c r="M103" s="443"/>
      <c r="N103" s="283"/>
      <c r="O103" s="283"/>
      <c r="P103" s="283"/>
      <c r="Q103" s="283"/>
      <c r="R103" s="283"/>
      <c r="S103" s="283"/>
      <c r="T103" s="283"/>
    </row>
    <row r="104" spans="1:20">
      <c r="A104" s="425"/>
      <c r="B104" s="353" t="s">
        <v>313</v>
      </c>
      <c r="C104" s="354" t="s">
        <v>255</v>
      </c>
      <c r="D104" s="444"/>
      <c r="E104" s="445"/>
      <c r="F104" s="445"/>
      <c r="G104" s="445"/>
      <c r="H104" s="446"/>
      <c r="I104" s="439"/>
      <c r="J104" s="442"/>
      <c r="K104" s="442"/>
      <c r="L104" s="442"/>
      <c r="M104" s="443"/>
      <c r="N104" s="283"/>
      <c r="O104" s="283"/>
      <c r="P104" s="283"/>
      <c r="Q104" s="283"/>
      <c r="R104" s="283"/>
      <c r="S104" s="283"/>
      <c r="T104" s="283"/>
    </row>
    <row r="105" spans="1:20">
      <c r="A105" s="425"/>
      <c r="B105" s="353" t="s">
        <v>326</v>
      </c>
      <c r="C105" s="354"/>
      <c r="D105" s="439"/>
      <c r="E105" s="440"/>
      <c r="F105" s="440"/>
      <c r="G105" s="440"/>
      <c r="H105" s="441"/>
      <c r="I105" s="447">
        <f>SUM(I103:I104)</f>
        <v>0</v>
      </c>
      <c r="J105" s="447">
        <f>SUM(J103:J104)</f>
        <v>0</v>
      </c>
      <c r="K105" s="447">
        <f>SUM(K103:K104)</f>
        <v>0</v>
      </c>
      <c r="L105" s="447">
        <f>SUM(L103:L104)</f>
        <v>0</v>
      </c>
      <c r="M105" s="447">
        <f>SUM(M103:M104)</f>
        <v>0</v>
      </c>
      <c r="N105" s="283"/>
      <c r="O105" s="283"/>
      <c r="P105" s="283"/>
      <c r="Q105" s="283"/>
      <c r="R105" s="283"/>
      <c r="S105" s="283"/>
      <c r="T105" s="283"/>
    </row>
    <row r="106" spans="1:20" ht="13.5" thickBot="1">
      <c r="A106" s="425"/>
      <c r="B106" s="418" t="s">
        <v>261</v>
      </c>
      <c r="C106" s="369" t="s">
        <v>255</v>
      </c>
      <c r="D106" s="419">
        <f t="shared" ref="D106:M106" si="21">SUM(D83:D84,D87,D89:D90,D93,D95:D96,D99,D101:D102,D105)</f>
        <v>0</v>
      </c>
      <c r="E106" s="420">
        <f t="shared" si="21"/>
        <v>0</v>
      </c>
      <c r="F106" s="420">
        <f t="shared" si="21"/>
        <v>0</v>
      </c>
      <c r="G106" s="420">
        <f t="shared" si="21"/>
        <v>0</v>
      </c>
      <c r="H106" s="421">
        <f t="shared" si="21"/>
        <v>0</v>
      </c>
      <c r="I106" s="419">
        <f t="shared" si="21"/>
        <v>0</v>
      </c>
      <c r="J106" s="420">
        <f t="shared" si="21"/>
        <v>0</v>
      </c>
      <c r="K106" s="420">
        <f t="shared" si="21"/>
        <v>0</v>
      </c>
      <c r="L106" s="420">
        <f t="shared" si="21"/>
        <v>0</v>
      </c>
      <c r="M106" s="448">
        <f t="shared" si="21"/>
        <v>0</v>
      </c>
      <c r="N106" s="422"/>
      <c r="O106" s="283"/>
      <c r="P106" s="283"/>
      <c r="Q106" s="283"/>
      <c r="R106" s="283"/>
      <c r="S106" s="283"/>
      <c r="T106" s="283"/>
    </row>
    <row r="107" spans="1:20">
      <c r="B107" s="449"/>
      <c r="C107" s="343"/>
      <c r="D107" s="344"/>
      <c r="E107" s="344"/>
      <c r="F107" s="344"/>
      <c r="G107" s="344"/>
      <c r="H107" s="344"/>
      <c r="I107" s="344"/>
      <c r="J107" s="344"/>
      <c r="K107" s="344"/>
      <c r="L107" s="344"/>
      <c r="M107" s="344"/>
      <c r="N107" s="283"/>
      <c r="O107" s="344"/>
      <c r="P107" s="344"/>
      <c r="Q107" s="344"/>
      <c r="R107" s="283"/>
      <c r="S107" s="344"/>
      <c r="T107" s="344"/>
    </row>
    <row r="108" spans="1:20">
      <c r="B108" s="284" t="s">
        <v>331</v>
      </c>
      <c r="N108" s="283"/>
      <c r="O108" s="283"/>
      <c r="P108" s="283"/>
      <c r="Q108" s="283"/>
      <c r="R108" s="283"/>
      <c r="S108" s="283"/>
      <c r="T108" s="283"/>
    </row>
    <row r="109" spans="1:20" ht="13.5" thickBot="1">
      <c r="B109" s="284"/>
      <c r="F109" s="385"/>
      <c r="N109" s="283"/>
      <c r="O109" s="283"/>
      <c r="P109" s="283"/>
      <c r="Q109" s="283"/>
      <c r="R109" s="283"/>
      <c r="S109" s="283"/>
      <c r="T109" s="283"/>
    </row>
    <row r="110" spans="1:20">
      <c r="B110" s="1503"/>
      <c r="C110" s="1499" t="s">
        <v>210</v>
      </c>
      <c r="D110" s="286" t="s">
        <v>211</v>
      </c>
      <c r="E110" s="287"/>
      <c r="F110" s="287"/>
      <c r="G110" s="287"/>
      <c r="H110" s="288"/>
      <c r="I110" s="287" t="s">
        <v>212</v>
      </c>
      <c r="J110" s="289"/>
      <c r="K110" s="289"/>
      <c r="L110" s="289"/>
      <c r="M110" s="288"/>
      <c r="N110" s="283"/>
      <c r="O110" s="283"/>
      <c r="P110" s="283"/>
      <c r="Q110" s="283"/>
      <c r="R110" s="283"/>
      <c r="S110" s="283"/>
      <c r="T110" s="283"/>
    </row>
    <row r="111" spans="1:20">
      <c r="B111" s="1504"/>
      <c r="C111" s="1500"/>
      <c r="D111" s="294" t="s">
        <v>99</v>
      </c>
      <c r="E111" s="295" t="s">
        <v>100</v>
      </c>
      <c r="F111" s="295" t="s">
        <v>101</v>
      </c>
      <c r="G111" s="295" t="s">
        <v>102</v>
      </c>
      <c r="H111" s="296" t="s">
        <v>64</v>
      </c>
      <c r="I111" s="297" t="s">
        <v>213</v>
      </c>
      <c r="J111" s="295" t="s">
        <v>214</v>
      </c>
      <c r="K111" s="295" t="s">
        <v>215</v>
      </c>
      <c r="L111" s="295" t="s">
        <v>216</v>
      </c>
      <c r="M111" s="296" t="s">
        <v>217</v>
      </c>
      <c r="N111" s="283"/>
      <c r="O111" s="283"/>
      <c r="P111" s="283"/>
      <c r="Q111" s="283"/>
      <c r="R111" s="283"/>
      <c r="S111" s="283"/>
      <c r="T111" s="283"/>
    </row>
    <row r="112" spans="1:20">
      <c r="B112" s="371" t="s">
        <v>315</v>
      </c>
      <c r="C112" s="372"/>
      <c r="D112" s="373"/>
      <c r="E112" s="374"/>
      <c r="F112" s="374"/>
      <c r="G112" s="374"/>
      <c r="H112" s="375"/>
      <c r="I112" s="377"/>
      <c r="J112" s="377"/>
      <c r="K112" s="377"/>
      <c r="L112" s="377"/>
      <c r="M112" s="378"/>
      <c r="N112" s="379"/>
      <c r="O112" s="283"/>
      <c r="P112" s="283"/>
      <c r="Q112" s="283"/>
      <c r="R112" s="283"/>
      <c r="S112" s="283"/>
      <c r="T112" s="283"/>
    </row>
    <row r="113" spans="2:20">
      <c r="B113" s="380" t="s">
        <v>316</v>
      </c>
      <c r="C113" s="354"/>
      <c r="D113" s="381"/>
      <c r="E113" s="382"/>
      <c r="F113" s="382"/>
      <c r="G113" s="382"/>
      <c r="H113" s="383"/>
      <c r="I113" s="385"/>
      <c r="J113" s="385"/>
      <c r="K113" s="385"/>
      <c r="L113" s="385"/>
      <c r="M113" s="386"/>
      <c r="N113" s="379"/>
      <c r="O113" s="283"/>
      <c r="P113" s="283"/>
      <c r="Q113" s="283"/>
      <c r="R113" s="283"/>
      <c r="S113" s="283"/>
      <c r="T113" s="283"/>
    </row>
    <row r="114" spans="2:20">
      <c r="B114" s="387" t="s">
        <v>254</v>
      </c>
      <c r="C114" s="354" t="s">
        <v>255</v>
      </c>
      <c r="D114" s="430"/>
      <c r="E114" s="431"/>
      <c r="F114" s="431"/>
      <c r="G114" s="431"/>
      <c r="H114" s="432"/>
      <c r="I114" s="430"/>
      <c r="J114" s="433"/>
      <c r="K114" s="433"/>
      <c r="L114" s="433"/>
      <c r="M114" s="434"/>
      <c r="N114" s="283"/>
      <c r="O114" s="283"/>
      <c r="P114" s="283"/>
      <c r="Q114" s="283"/>
      <c r="R114" s="283"/>
      <c r="S114" s="283"/>
      <c r="T114" s="283"/>
    </row>
    <row r="115" spans="2:20">
      <c r="B115" s="392" t="s">
        <v>317</v>
      </c>
      <c r="C115" s="354"/>
      <c r="D115" s="430"/>
      <c r="E115" s="431"/>
      <c r="F115" s="431"/>
      <c r="G115" s="431"/>
      <c r="H115" s="432"/>
      <c r="I115" s="430"/>
      <c r="J115" s="433"/>
      <c r="K115" s="433"/>
      <c r="L115" s="433"/>
      <c r="M115" s="434"/>
      <c r="N115" s="283"/>
      <c r="O115" s="283"/>
      <c r="P115" s="283"/>
      <c r="Q115" s="283"/>
      <c r="R115" s="283"/>
      <c r="S115" s="283"/>
      <c r="T115" s="283"/>
    </row>
    <row r="116" spans="2:20">
      <c r="B116" s="353" t="s">
        <v>318</v>
      </c>
      <c r="C116" s="354"/>
      <c r="D116" s="405"/>
      <c r="E116" s="406"/>
      <c r="F116" s="406"/>
      <c r="G116" s="406"/>
      <c r="H116" s="407"/>
      <c r="I116" s="430"/>
      <c r="J116" s="433"/>
      <c r="K116" s="433"/>
      <c r="L116" s="433"/>
      <c r="M116" s="434"/>
      <c r="N116" s="283"/>
      <c r="O116" s="283"/>
      <c r="P116" s="283"/>
      <c r="Q116" s="283"/>
      <c r="R116" s="283"/>
      <c r="S116" s="283"/>
      <c r="T116" s="283"/>
    </row>
    <row r="117" spans="2:20">
      <c r="B117" s="353" t="s">
        <v>319</v>
      </c>
      <c r="C117" s="354" t="s">
        <v>255</v>
      </c>
      <c r="D117" s="405"/>
      <c r="E117" s="406"/>
      <c r="F117" s="406"/>
      <c r="G117" s="406"/>
      <c r="H117" s="407"/>
      <c r="I117" s="430"/>
      <c r="J117" s="433"/>
      <c r="K117" s="433"/>
      <c r="L117" s="433"/>
      <c r="M117" s="434"/>
      <c r="N117" s="283"/>
      <c r="O117" s="283"/>
      <c r="P117" s="283"/>
      <c r="Q117" s="283"/>
      <c r="R117" s="283"/>
      <c r="S117" s="283"/>
      <c r="T117" s="283"/>
    </row>
    <row r="118" spans="2:20">
      <c r="B118" s="353" t="s">
        <v>320</v>
      </c>
      <c r="C118" s="354"/>
      <c r="D118" s="430"/>
      <c r="E118" s="433"/>
      <c r="F118" s="433"/>
      <c r="G118" s="433"/>
      <c r="H118" s="432"/>
      <c r="I118" s="435">
        <f>SUM(I116:I117)</f>
        <v>0</v>
      </c>
      <c r="J118" s="436">
        <f>SUM(J116:J117)</f>
        <v>0</v>
      </c>
      <c r="K118" s="436">
        <f>SUM(K116:K117)</f>
        <v>0</v>
      </c>
      <c r="L118" s="436">
        <f>SUM(L116:L117)</f>
        <v>0</v>
      </c>
      <c r="M118" s="437">
        <f>SUM(M116:M117)</f>
        <v>0</v>
      </c>
      <c r="N118" s="283"/>
      <c r="O118" s="283"/>
      <c r="P118" s="283"/>
      <c r="Q118" s="283"/>
      <c r="R118" s="283"/>
      <c r="S118" s="283"/>
      <c r="T118" s="283"/>
    </row>
    <row r="119" spans="2:20">
      <c r="B119" s="396" t="s">
        <v>328</v>
      </c>
      <c r="C119" s="354"/>
      <c r="D119" s="397"/>
      <c r="E119" s="398"/>
      <c r="F119" s="398"/>
      <c r="G119" s="398"/>
      <c r="H119" s="399"/>
      <c r="I119" s="400"/>
      <c r="J119" s="401"/>
      <c r="K119" s="401"/>
      <c r="L119" s="438"/>
      <c r="M119" s="402"/>
      <c r="N119" s="379"/>
      <c r="O119" s="283"/>
      <c r="P119" s="283"/>
      <c r="Q119" s="283"/>
      <c r="R119" s="283"/>
      <c r="S119" s="283"/>
      <c r="T119" s="283"/>
    </row>
    <row r="120" spans="2:20">
      <c r="B120" s="403" t="s">
        <v>254</v>
      </c>
      <c r="C120" s="354" t="s">
        <v>255</v>
      </c>
      <c r="D120" s="430"/>
      <c r="E120" s="431"/>
      <c r="F120" s="431"/>
      <c r="G120" s="431"/>
      <c r="H120" s="432"/>
      <c r="I120" s="430"/>
      <c r="J120" s="433"/>
      <c r="K120" s="433"/>
      <c r="L120" s="433"/>
      <c r="M120" s="434"/>
      <c r="N120" s="283"/>
      <c r="O120" s="283"/>
      <c r="P120" s="283"/>
      <c r="Q120" s="283"/>
      <c r="R120" s="283"/>
      <c r="S120" s="283"/>
      <c r="T120" s="283"/>
    </row>
    <row r="121" spans="2:20">
      <c r="B121" s="404" t="s">
        <v>317</v>
      </c>
      <c r="C121" s="354"/>
      <c r="D121" s="430"/>
      <c r="E121" s="431"/>
      <c r="F121" s="431"/>
      <c r="G121" s="431"/>
      <c r="H121" s="432"/>
      <c r="I121" s="430"/>
      <c r="J121" s="433"/>
      <c r="K121" s="433"/>
      <c r="L121" s="433"/>
      <c r="M121" s="434"/>
      <c r="N121" s="283"/>
      <c r="O121" s="283"/>
      <c r="P121" s="283"/>
      <c r="Q121" s="283"/>
      <c r="R121" s="283"/>
      <c r="S121" s="283"/>
      <c r="T121" s="283"/>
    </row>
    <row r="122" spans="2:20">
      <c r="B122" s="353" t="s">
        <v>308</v>
      </c>
      <c r="C122" s="354"/>
      <c r="D122" s="405"/>
      <c r="E122" s="406"/>
      <c r="F122" s="406"/>
      <c r="G122" s="406"/>
      <c r="H122" s="407"/>
      <c r="I122" s="430"/>
      <c r="J122" s="433"/>
      <c r="K122" s="433"/>
      <c r="L122" s="433"/>
      <c r="M122" s="434"/>
      <c r="N122" s="283"/>
      <c r="O122" s="283"/>
      <c r="P122" s="283"/>
      <c r="Q122" s="283"/>
      <c r="R122" s="283"/>
      <c r="S122" s="283"/>
      <c r="T122" s="283"/>
    </row>
    <row r="123" spans="2:20">
      <c r="B123" s="353" t="s">
        <v>309</v>
      </c>
      <c r="C123" s="354" t="s">
        <v>255</v>
      </c>
      <c r="D123" s="405"/>
      <c r="E123" s="406"/>
      <c r="F123" s="406"/>
      <c r="G123" s="406"/>
      <c r="H123" s="407"/>
      <c r="I123" s="430"/>
      <c r="J123" s="433"/>
      <c r="K123" s="433"/>
      <c r="L123" s="433"/>
      <c r="M123" s="434"/>
      <c r="N123" s="283"/>
      <c r="O123" s="283"/>
      <c r="P123" s="283"/>
      <c r="Q123" s="283"/>
      <c r="R123" s="283"/>
      <c r="S123" s="283"/>
      <c r="T123" s="283"/>
    </row>
    <row r="124" spans="2:20">
      <c r="B124" s="353" t="s">
        <v>322</v>
      </c>
      <c r="C124" s="354"/>
      <c r="D124" s="430"/>
      <c r="E124" s="433"/>
      <c r="F124" s="433"/>
      <c r="G124" s="433"/>
      <c r="H124" s="432"/>
      <c r="I124" s="435">
        <f>SUM(I122:I123)</f>
        <v>0</v>
      </c>
      <c r="J124" s="435">
        <f>SUM(J122:J123)</f>
        <v>0</v>
      </c>
      <c r="K124" s="435">
        <f>SUM(K122:K123)</f>
        <v>0</v>
      </c>
      <c r="L124" s="435">
        <f>SUM(L122:L123)</f>
        <v>0</v>
      </c>
      <c r="M124" s="450">
        <f>SUM(M122:M123)</f>
        <v>0</v>
      </c>
      <c r="N124" s="283"/>
      <c r="O124" s="283"/>
      <c r="P124" s="283"/>
      <c r="Q124" s="283"/>
      <c r="R124" s="283"/>
      <c r="S124" s="283"/>
      <c r="T124" s="283"/>
    </row>
    <row r="125" spans="2:20">
      <c r="B125" s="396" t="s">
        <v>329</v>
      </c>
      <c r="C125" s="354"/>
      <c r="D125" s="397"/>
      <c r="E125" s="398"/>
      <c r="F125" s="398"/>
      <c r="G125" s="398"/>
      <c r="H125" s="399"/>
      <c r="I125" s="400"/>
      <c r="J125" s="401"/>
      <c r="K125" s="401"/>
      <c r="L125" s="438"/>
      <c r="M125" s="402"/>
      <c r="N125" s="379"/>
      <c r="O125" s="283"/>
      <c r="P125" s="283"/>
      <c r="Q125" s="283"/>
      <c r="R125" s="283"/>
      <c r="S125" s="283"/>
      <c r="T125" s="283"/>
    </row>
    <row r="126" spans="2:20">
      <c r="B126" s="403" t="s">
        <v>254</v>
      </c>
      <c r="C126" s="354" t="s">
        <v>255</v>
      </c>
      <c r="D126" s="430"/>
      <c r="E126" s="431"/>
      <c r="F126" s="431"/>
      <c r="G126" s="431"/>
      <c r="H126" s="432"/>
      <c r="I126" s="430"/>
      <c r="J126" s="433"/>
      <c r="K126" s="433"/>
      <c r="L126" s="433"/>
      <c r="M126" s="434"/>
      <c r="N126" s="283"/>
      <c r="O126" s="283"/>
      <c r="P126" s="283"/>
      <c r="Q126" s="283"/>
      <c r="R126" s="283"/>
      <c r="S126" s="283"/>
      <c r="T126" s="283"/>
    </row>
    <row r="127" spans="2:20">
      <c r="B127" s="404" t="s">
        <v>317</v>
      </c>
      <c r="C127" s="354"/>
      <c r="D127" s="430"/>
      <c r="E127" s="431"/>
      <c r="F127" s="431"/>
      <c r="G127" s="431"/>
      <c r="H127" s="432"/>
      <c r="I127" s="430"/>
      <c r="J127" s="433"/>
      <c r="K127" s="433"/>
      <c r="L127" s="433"/>
      <c r="M127" s="434"/>
      <c r="N127" s="283"/>
      <c r="O127" s="283"/>
      <c r="P127" s="283"/>
      <c r="Q127" s="283"/>
      <c r="R127" s="283"/>
      <c r="S127" s="283"/>
      <c r="T127" s="283"/>
    </row>
    <row r="128" spans="2:20">
      <c r="B128" s="353" t="s">
        <v>310</v>
      </c>
      <c r="C128" s="354"/>
      <c r="D128" s="393"/>
      <c r="E128" s="394"/>
      <c r="F128" s="394"/>
      <c r="G128" s="394"/>
      <c r="H128" s="395"/>
      <c r="I128" s="430"/>
      <c r="J128" s="433"/>
      <c r="K128" s="433"/>
      <c r="L128" s="433"/>
      <c r="M128" s="434"/>
      <c r="N128" s="283"/>
      <c r="O128" s="283"/>
      <c r="P128" s="283"/>
      <c r="Q128" s="283"/>
      <c r="R128" s="283"/>
      <c r="S128" s="283"/>
      <c r="T128" s="283"/>
    </row>
    <row r="129" spans="2:20">
      <c r="B129" s="353" t="s">
        <v>311</v>
      </c>
      <c r="C129" s="354" t="s">
        <v>255</v>
      </c>
      <c r="D129" s="393"/>
      <c r="E129" s="394"/>
      <c r="F129" s="394"/>
      <c r="G129" s="394"/>
      <c r="H129" s="395"/>
      <c r="I129" s="430"/>
      <c r="J129" s="433"/>
      <c r="K129" s="433"/>
      <c r="L129" s="433"/>
      <c r="M129" s="434"/>
      <c r="N129" s="283"/>
      <c r="O129" s="283"/>
      <c r="P129" s="283"/>
      <c r="Q129" s="283"/>
      <c r="R129" s="283"/>
      <c r="S129" s="283"/>
      <c r="T129" s="283"/>
    </row>
    <row r="130" spans="2:20">
      <c r="B130" s="353" t="s">
        <v>324</v>
      </c>
      <c r="C130" s="354"/>
      <c r="D130" s="430"/>
      <c r="E130" s="433"/>
      <c r="F130" s="433"/>
      <c r="G130" s="433"/>
      <c r="H130" s="432"/>
      <c r="I130" s="435">
        <f>SUM(I128:I129)</f>
        <v>0</v>
      </c>
      <c r="J130" s="435">
        <f>SUM(J128:J129)</f>
        <v>0</v>
      </c>
      <c r="K130" s="435">
        <f>SUM(K128:K129)</f>
        <v>0</v>
      </c>
      <c r="L130" s="435">
        <f>SUM(L128:L129)</f>
        <v>0</v>
      </c>
      <c r="M130" s="450">
        <f>SUM(M128:M129)</f>
        <v>0</v>
      </c>
      <c r="N130" s="283"/>
      <c r="O130" s="283"/>
      <c r="P130" s="283"/>
      <c r="Q130" s="283"/>
      <c r="R130" s="283"/>
      <c r="S130" s="283"/>
      <c r="T130" s="283"/>
    </row>
    <row r="131" spans="2:20">
      <c r="B131" s="396" t="s">
        <v>330</v>
      </c>
      <c r="C131" s="354"/>
      <c r="D131" s="397"/>
      <c r="E131" s="398"/>
      <c r="F131" s="398"/>
      <c r="G131" s="398"/>
      <c r="H131" s="399"/>
      <c r="I131" s="400"/>
      <c r="J131" s="401"/>
      <c r="K131" s="401"/>
      <c r="L131" s="438"/>
      <c r="M131" s="402"/>
      <c r="N131" s="379"/>
      <c r="O131" s="283"/>
      <c r="P131" s="283"/>
      <c r="Q131" s="283"/>
      <c r="R131" s="283"/>
      <c r="S131" s="283"/>
      <c r="T131" s="283"/>
    </row>
    <row r="132" spans="2:20">
      <c r="B132" s="403" t="s">
        <v>254</v>
      </c>
      <c r="C132" s="354" t="s">
        <v>255</v>
      </c>
      <c r="D132" s="439"/>
      <c r="E132" s="440"/>
      <c r="F132" s="440"/>
      <c r="G132" s="440"/>
      <c r="H132" s="441"/>
      <c r="I132" s="439"/>
      <c r="J132" s="442"/>
      <c r="K132" s="442"/>
      <c r="L132" s="442"/>
      <c r="M132" s="443"/>
      <c r="N132" s="283"/>
      <c r="O132" s="283"/>
      <c r="P132" s="283"/>
      <c r="Q132" s="283"/>
      <c r="R132" s="283"/>
      <c r="S132" s="283"/>
      <c r="T132" s="283"/>
    </row>
    <row r="133" spans="2:20">
      <c r="B133" s="404" t="s">
        <v>317</v>
      </c>
      <c r="C133" s="354"/>
      <c r="D133" s="439"/>
      <c r="E133" s="440"/>
      <c r="F133" s="440"/>
      <c r="G133" s="440"/>
      <c r="H133" s="441"/>
      <c r="I133" s="439"/>
      <c r="J133" s="442"/>
      <c r="K133" s="442"/>
      <c r="L133" s="442"/>
      <c r="M133" s="443"/>
      <c r="N133" s="283"/>
      <c r="O133" s="283"/>
      <c r="P133" s="283"/>
      <c r="Q133" s="283"/>
      <c r="R133" s="283"/>
      <c r="S133" s="283"/>
      <c r="T133" s="283"/>
    </row>
    <row r="134" spans="2:20">
      <c r="B134" s="353" t="s">
        <v>312</v>
      </c>
      <c r="C134" s="354"/>
      <c r="D134" s="444"/>
      <c r="E134" s="445"/>
      <c r="F134" s="445"/>
      <c r="G134" s="445"/>
      <c r="H134" s="446"/>
      <c r="I134" s="439"/>
      <c r="J134" s="442"/>
      <c r="K134" s="442"/>
      <c r="L134" s="442"/>
      <c r="M134" s="443"/>
      <c r="N134" s="283"/>
      <c r="O134" s="283"/>
      <c r="P134" s="283"/>
      <c r="Q134" s="283"/>
      <c r="R134" s="283"/>
      <c r="S134" s="283"/>
      <c r="T134" s="283"/>
    </row>
    <row r="135" spans="2:20">
      <c r="B135" s="353" t="s">
        <v>313</v>
      </c>
      <c r="C135" s="354" t="s">
        <v>255</v>
      </c>
      <c r="D135" s="444"/>
      <c r="E135" s="445"/>
      <c r="F135" s="445"/>
      <c r="G135" s="445"/>
      <c r="H135" s="446"/>
      <c r="I135" s="439"/>
      <c r="J135" s="442"/>
      <c r="K135" s="442"/>
      <c r="L135" s="442"/>
      <c r="M135" s="443"/>
      <c r="N135" s="283"/>
      <c r="O135" s="283"/>
      <c r="P135" s="283"/>
      <c r="Q135" s="283"/>
      <c r="R135" s="283"/>
      <c r="S135" s="283"/>
      <c r="T135" s="283"/>
    </row>
    <row r="136" spans="2:20">
      <c r="B136" s="353" t="s">
        <v>326</v>
      </c>
      <c r="C136" s="354"/>
      <c r="D136" s="439"/>
      <c r="E136" s="440"/>
      <c r="F136" s="440"/>
      <c r="G136" s="440"/>
      <c r="H136" s="441"/>
      <c r="I136" s="447">
        <f>SUM(I134:I135)</f>
        <v>0</v>
      </c>
      <c r="J136" s="447">
        <f>SUM(J134:J135)</f>
        <v>0</v>
      </c>
      <c r="K136" s="447">
        <f>SUM(K134:K135)</f>
        <v>0</v>
      </c>
      <c r="L136" s="447">
        <f>SUM(L134:L135)</f>
        <v>0</v>
      </c>
      <c r="M136" s="451">
        <f>SUM(M134:M135)</f>
        <v>0</v>
      </c>
      <c r="N136" s="283"/>
      <c r="O136" s="283"/>
      <c r="P136" s="283"/>
      <c r="Q136" s="283"/>
      <c r="R136" s="283"/>
      <c r="S136" s="283"/>
      <c r="T136" s="283"/>
    </row>
    <row r="137" spans="2:20" ht="13.5" thickBot="1">
      <c r="B137" s="418" t="s">
        <v>261</v>
      </c>
      <c r="C137" s="369" t="s">
        <v>255</v>
      </c>
      <c r="D137" s="419">
        <f t="shared" ref="D137:M137" si="22">SUM(D114:D115,D118,D120:D121,D124,D126:D127,D130,D132:D133,D136)</f>
        <v>0</v>
      </c>
      <c r="E137" s="420">
        <f t="shared" si="22"/>
        <v>0</v>
      </c>
      <c r="F137" s="420">
        <f t="shared" si="22"/>
        <v>0</v>
      </c>
      <c r="G137" s="420">
        <f t="shared" si="22"/>
        <v>0</v>
      </c>
      <c r="H137" s="421">
        <f t="shared" si="22"/>
        <v>0</v>
      </c>
      <c r="I137" s="419">
        <f t="shared" si="22"/>
        <v>0</v>
      </c>
      <c r="J137" s="420">
        <f t="shared" si="22"/>
        <v>0</v>
      </c>
      <c r="K137" s="420">
        <f t="shared" si="22"/>
        <v>0</v>
      </c>
      <c r="L137" s="420">
        <f t="shared" si="22"/>
        <v>0</v>
      </c>
      <c r="M137" s="448">
        <f t="shared" si="22"/>
        <v>0</v>
      </c>
      <c r="N137" s="422"/>
      <c r="O137" s="283"/>
      <c r="P137" s="283"/>
      <c r="Q137" s="283"/>
      <c r="R137" s="283"/>
      <c r="S137" s="283"/>
      <c r="T137" s="283"/>
    </row>
    <row r="138" spans="2:20">
      <c r="B138" s="449"/>
      <c r="C138" s="343"/>
      <c r="D138" s="344"/>
      <c r="E138" s="344"/>
      <c r="F138" s="344"/>
      <c r="G138" s="344"/>
      <c r="H138" s="344"/>
      <c r="I138" s="344"/>
      <c r="J138" s="344"/>
      <c r="K138" s="344"/>
      <c r="L138" s="344"/>
      <c r="M138" s="344"/>
      <c r="N138" s="283"/>
      <c r="O138" s="344"/>
      <c r="P138" s="344"/>
      <c r="Q138" s="344"/>
      <c r="R138" s="283"/>
      <c r="S138" s="344"/>
      <c r="T138" s="344"/>
    </row>
    <row r="139" spans="2:20">
      <c r="B139" s="449"/>
      <c r="C139" s="343"/>
      <c r="D139" s="344"/>
      <c r="E139" s="344"/>
      <c r="F139" s="344"/>
      <c r="G139" s="344"/>
      <c r="H139" s="344"/>
      <c r="I139" s="344"/>
      <c r="J139" s="344"/>
      <c r="K139" s="344"/>
      <c r="L139" s="344"/>
      <c r="M139" s="344"/>
      <c r="N139" s="283"/>
      <c r="O139" s="344"/>
      <c r="P139" s="344"/>
      <c r="Q139" s="344"/>
      <c r="R139" s="283"/>
      <c r="S139" s="344"/>
      <c r="T139" s="344"/>
    </row>
    <row r="140" spans="2:20">
      <c r="B140" s="449"/>
      <c r="C140" s="343"/>
      <c r="D140" s="344"/>
      <c r="E140" s="344"/>
      <c r="F140" s="344"/>
      <c r="G140" s="344"/>
      <c r="H140" s="344"/>
      <c r="I140" s="344"/>
      <c r="J140" s="344"/>
      <c r="K140" s="344"/>
      <c r="L140" s="344"/>
      <c r="M140" s="344"/>
      <c r="N140" s="283"/>
      <c r="O140" s="344"/>
      <c r="P140" s="344"/>
      <c r="Q140" s="344"/>
      <c r="R140" s="283"/>
      <c r="S140" s="344"/>
      <c r="T140" s="344"/>
    </row>
    <row r="141" spans="2:20">
      <c r="B141" s="342" t="s">
        <v>332</v>
      </c>
      <c r="C141" s="343"/>
      <c r="D141" s="344"/>
      <c r="E141" s="344"/>
      <c r="F141" s="344"/>
      <c r="G141" s="344"/>
      <c r="H141" s="344"/>
      <c r="I141" s="344"/>
      <c r="J141" s="344"/>
      <c r="K141" s="344"/>
      <c r="L141" s="344"/>
      <c r="M141" s="344"/>
      <c r="N141" s="283"/>
      <c r="O141" s="344"/>
      <c r="P141" s="344"/>
      <c r="Q141" s="344"/>
      <c r="R141" s="283"/>
      <c r="S141" s="344"/>
      <c r="T141" s="344"/>
    </row>
    <row r="142" spans="2:20" ht="13.5" thickBot="1">
      <c r="B142" s="342"/>
      <c r="C142" s="343"/>
      <c r="D142" s="344"/>
      <c r="E142" s="344"/>
      <c r="F142" s="344"/>
      <c r="G142" s="344"/>
      <c r="H142" s="344"/>
      <c r="I142" s="344"/>
      <c r="J142" s="344"/>
      <c r="K142" s="344"/>
      <c r="L142" s="344"/>
      <c r="M142" s="344"/>
      <c r="N142" s="283"/>
      <c r="O142" s="344"/>
      <c r="P142" s="344"/>
      <c r="Q142" s="344"/>
      <c r="R142" s="283"/>
      <c r="S142" s="344"/>
      <c r="T142" s="344"/>
    </row>
    <row r="143" spans="2:20">
      <c r="B143" s="1501" t="s">
        <v>263</v>
      </c>
      <c r="C143" s="1499" t="s">
        <v>210</v>
      </c>
      <c r="D143" s="286" t="s">
        <v>211</v>
      </c>
      <c r="E143" s="287"/>
      <c r="F143" s="287"/>
      <c r="G143" s="287"/>
      <c r="H143" s="288"/>
      <c r="I143" s="287" t="s">
        <v>212</v>
      </c>
      <c r="J143" s="289"/>
      <c r="K143" s="289"/>
      <c r="L143" s="289"/>
      <c r="M143" s="288"/>
      <c r="N143" s="283"/>
      <c r="O143" s="290" t="s">
        <v>211</v>
      </c>
      <c r="P143" s="291"/>
      <c r="Q143" s="292"/>
      <c r="R143" s="283"/>
      <c r="S143" s="290" t="s">
        <v>212</v>
      </c>
      <c r="T143" s="292"/>
    </row>
    <row r="144" spans="2:20">
      <c r="B144" s="1502"/>
      <c r="C144" s="1500"/>
      <c r="D144" s="294" t="s">
        <v>99</v>
      </c>
      <c r="E144" s="295" t="s">
        <v>100</v>
      </c>
      <c r="F144" s="295" t="s">
        <v>101</v>
      </c>
      <c r="G144" s="295" t="s">
        <v>102</v>
      </c>
      <c r="H144" s="296" t="s">
        <v>64</v>
      </c>
      <c r="I144" s="297" t="s">
        <v>213</v>
      </c>
      <c r="J144" s="295" t="s">
        <v>214</v>
      </c>
      <c r="K144" s="295" t="s">
        <v>215</v>
      </c>
      <c r="L144" s="295" t="s">
        <v>216</v>
      </c>
      <c r="M144" s="296" t="s">
        <v>217</v>
      </c>
      <c r="N144" s="283"/>
      <c r="O144" s="298" t="s">
        <v>218</v>
      </c>
      <c r="P144" s="299" t="s">
        <v>219</v>
      </c>
      <c r="Q144" s="300" t="s">
        <v>220</v>
      </c>
      <c r="R144" s="283"/>
      <c r="S144" s="298" t="s">
        <v>219</v>
      </c>
      <c r="T144" s="300" t="s">
        <v>221</v>
      </c>
    </row>
    <row r="145" spans="2:20">
      <c r="B145" s="452" t="s">
        <v>264</v>
      </c>
      <c r="C145" s="453"/>
      <c r="D145" s="373"/>
      <c r="E145" s="374"/>
      <c r="F145" s="374"/>
      <c r="G145" s="374"/>
      <c r="H145" s="375"/>
      <c r="I145" s="377"/>
      <c r="J145" s="377"/>
      <c r="K145" s="377"/>
      <c r="L145" s="377"/>
      <c r="M145" s="378"/>
      <c r="N145" s="283"/>
      <c r="O145" s="376"/>
      <c r="P145" s="377"/>
      <c r="Q145" s="378"/>
      <c r="R145" s="283"/>
      <c r="S145" s="376"/>
      <c r="T145" s="378"/>
    </row>
    <row r="146" spans="2:20">
      <c r="B146" s="345" t="s">
        <v>265</v>
      </c>
      <c r="C146" s="346"/>
      <c r="D146" s="347"/>
      <c r="E146" s="348"/>
      <c r="F146" s="348"/>
      <c r="G146" s="348"/>
      <c r="H146" s="349"/>
      <c r="I146" s="348"/>
      <c r="J146" s="348"/>
      <c r="K146" s="348"/>
      <c r="L146" s="348"/>
      <c r="M146" s="349"/>
      <c r="N146" s="283"/>
      <c r="O146" s="350"/>
      <c r="P146" s="351"/>
      <c r="Q146" s="352"/>
      <c r="R146" s="283"/>
      <c r="S146" s="347"/>
      <c r="T146" s="349"/>
    </row>
    <row r="147" spans="2:20">
      <c r="B147" s="353" t="s">
        <v>306</v>
      </c>
      <c r="C147" s="354" t="s">
        <v>223</v>
      </c>
      <c r="D147" s="454"/>
      <c r="E147" s="455"/>
      <c r="F147" s="455"/>
      <c r="G147" s="455"/>
      <c r="H147" s="456"/>
      <c r="I147" s="331"/>
      <c r="J147" s="333"/>
      <c r="K147" s="333"/>
      <c r="L147" s="333"/>
      <c r="M147" s="332"/>
      <c r="N147" s="283"/>
      <c r="O147" s="327"/>
      <c r="P147" s="328"/>
      <c r="Q147" s="329"/>
      <c r="R147" s="283"/>
      <c r="S147" s="327"/>
      <c r="T147" s="330"/>
    </row>
    <row r="148" spans="2:20">
      <c r="B148" s="353" t="s">
        <v>333</v>
      </c>
      <c r="C148" s="354" t="s">
        <v>334</v>
      </c>
      <c r="D148" s="457"/>
      <c r="E148" s="458"/>
      <c r="F148" s="458"/>
      <c r="G148" s="458"/>
      <c r="H148" s="459"/>
      <c r="I148" s="460"/>
      <c r="J148" s="461"/>
      <c r="K148" s="461"/>
      <c r="L148" s="461"/>
      <c r="M148" s="462"/>
      <c r="N148" s="283"/>
      <c r="O148" s="327"/>
      <c r="P148" s="328"/>
      <c r="Q148" s="329"/>
      <c r="R148" s="283"/>
      <c r="S148" s="327"/>
      <c r="T148" s="330"/>
    </row>
    <row r="149" spans="2:20">
      <c r="B149" s="353" t="s">
        <v>335</v>
      </c>
      <c r="C149" s="354" t="s">
        <v>334</v>
      </c>
      <c r="D149" s="457"/>
      <c r="E149" s="458"/>
      <c r="F149" s="458"/>
      <c r="G149" s="458"/>
      <c r="H149" s="459"/>
      <c r="I149" s="463">
        <f>1-I148</f>
        <v>1</v>
      </c>
      <c r="J149" s="464">
        <f>1-J148</f>
        <v>1</v>
      </c>
      <c r="K149" s="464">
        <f>1-K148</f>
        <v>1</v>
      </c>
      <c r="L149" s="464">
        <f>1-L148</f>
        <v>1</v>
      </c>
      <c r="M149" s="465">
        <f>1-M148</f>
        <v>1</v>
      </c>
      <c r="N149" s="283"/>
      <c r="O149" s="327"/>
      <c r="P149" s="328"/>
      <c r="Q149" s="329"/>
      <c r="R149" s="283"/>
      <c r="S149" s="327"/>
      <c r="T149" s="330"/>
    </row>
    <row r="150" spans="2:20">
      <c r="B150" s="353" t="s">
        <v>307</v>
      </c>
      <c r="C150" s="354" t="s">
        <v>223</v>
      </c>
      <c r="D150" s="454"/>
      <c r="E150" s="455"/>
      <c r="F150" s="455"/>
      <c r="G150" s="455"/>
      <c r="H150" s="456"/>
      <c r="I150" s="331"/>
      <c r="J150" s="333"/>
      <c r="K150" s="333"/>
      <c r="L150" s="333"/>
      <c r="M150" s="332"/>
      <c r="N150" s="283"/>
      <c r="O150" s="327"/>
      <c r="P150" s="328"/>
      <c r="Q150" s="329"/>
      <c r="R150" s="283"/>
      <c r="S150" s="327"/>
      <c r="T150" s="330"/>
    </row>
    <row r="151" spans="2:20">
      <c r="B151" s="353" t="s">
        <v>336</v>
      </c>
      <c r="C151" s="354" t="s">
        <v>334</v>
      </c>
      <c r="D151" s="454"/>
      <c r="E151" s="455"/>
      <c r="F151" s="455"/>
      <c r="G151" s="455"/>
      <c r="H151" s="456"/>
      <c r="I151" s="331"/>
      <c r="J151" s="333"/>
      <c r="K151" s="333"/>
      <c r="L151" s="333"/>
      <c r="M151" s="332"/>
      <c r="N151" s="283"/>
      <c r="O151" s="327"/>
      <c r="P151" s="328"/>
      <c r="Q151" s="329"/>
      <c r="R151" s="283"/>
      <c r="S151" s="327"/>
      <c r="T151" s="330"/>
    </row>
    <row r="152" spans="2:20">
      <c r="B152" s="353" t="s">
        <v>337</v>
      </c>
      <c r="C152" s="354" t="s">
        <v>334</v>
      </c>
      <c r="D152" s="457"/>
      <c r="E152" s="458"/>
      <c r="F152" s="458"/>
      <c r="G152" s="458"/>
      <c r="H152" s="459"/>
      <c r="I152" s="463">
        <f>1-I151</f>
        <v>1</v>
      </c>
      <c r="J152" s="464">
        <f>1-J151</f>
        <v>1</v>
      </c>
      <c r="K152" s="464">
        <f>1-K151</f>
        <v>1</v>
      </c>
      <c r="L152" s="464">
        <f>1-L151</f>
        <v>1</v>
      </c>
      <c r="M152" s="465">
        <f>1-M151</f>
        <v>1</v>
      </c>
      <c r="N152" s="283"/>
      <c r="O152" s="327"/>
      <c r="P152" s="328"/>
      <c r="Q152" s="329"/>
      <c r="R152" s="283"/>
      <c r="S152" s="327"/>
      <c r="T152" s="330"/>
    </row>
    <row r="153" spans="2:20">
      <c r="B153" s="361" t="s">
        <v>268</v>
      </c>
      <c r="C153" s="354" t="s">
        <v>223</v>
      </c>
      <c r="D153" s="316"/>
      <c r="E153" s="331"/>
      <c r="F153" s="331"/>
      <c r="G153" s="331"/>
      <c r="H153" s="332"/>
      <c r="I153" s="362">
        <f>SUM(I147,I150)</f>
        <v>0</v>
      </c>
      <c r="J153" s="307">
        <f>SUM(J147,J150)</f>
        <v>0</v>
      </c>
      <c r="K153" s="307">
        <f>SUM(K147,K150)</f>
        <v>0</v>
      </c>
      <c r="L153" s="307">
        <f>SUM(L147,L150)</f>
        <v>0</v>
      </c>
      <c r="M153" s="308">
        <f>SUM(M147,M150)</f>
        <v>0</v>
      </c>
      <c r="N153" s="283"/>
      <c r="O153" s="306">
        <f>SUM(D153:G153)</f>
        <v>0</v>
      </c>
      <c r="P153" s="307">
        <f>SUM(H153)</f>
        <v>0</v>
      </c>
      <c r="Q153" s="308">
        <f>SUM(D153:H153)</f>
        <v>0</v>
      </c>
      <c r="R153" s="283"/>
      <c r="S153" s="306">
        <f>SUM(I153:M153)</f>
        <v>0</v>
      </c>
      <c r="T153" s="309" t="str">
        <f>IF(Q153&lt;&gt;0,(S153-Q153)/Q153,"0")</f>
        <v>0</v>
      </c>
    </row>
    <row r="154" spans="2:20">
      <c r="B154" s="345" t="s">
        <v>338</v>
      </c>
      <c r="C154" s="363"/>
      <c r="D154" s="364"/>
      <c r="E154" s="365"/>
      <c r="F154" s="365"/>
      <c r="G154" s="365"/>
      <c r="H154" s="366"/>
      <c r="I154" s="365"/>
      <c r="J154" s="365"/>
      <c r="K154" s="365"/>
      <c r="L154" s="365"/>
      <c r="M154" s="366"/>
      <c r="N154" s="283"/>
      <c r="O154" s="367"/>
      <c r="P154" s="365"/>
      <c r="Q154" s="366"/>
      <c r="R154" s="283"/>
      <c r="S154" s="364"/>
      <c r="T154" s="366"/>
    </row>
    <row r="155" spans="2:20">
      <c r="B155" s="353" t="s">
        <v>308</v>
      </c>
      <c r="C155" s="354" t="s">
        <v>223</v>
      </c>
      <c r="D155" s="454"/>
      <c r="E155" s="455"/>
      <c r="F155" s="455"/>
      <c r="G155" s="455"/>
      <c r="H155" s="456"/>
      <c r="I155" s="331"/>
      <c r="J155" s="333"/>
      <c r="K155" s="333"/>
      <c r="L155" s="333"/>
      <c r="M155" s="332"/>
      <c r="N155" s="283"/>
      <c r="O155" s="327"/>
      <c r="P155" s="328"/>
      <c r="Q155" s="329"/>
      <c r="R155" s="283"/>
      <c r="S155" s="327"/>
      <c r="T155" s="330"/>
    </row>
    <row r="156" spans="2:20">
      <c r="B156" s="353" t="s">
        <v>339</v>
      </c>
      <c r="C156" s="354" t="s">
        <v>334</v>
      </c>
      <c r="D156" s="457"/>
      <c r="E156" s="458"/>
      <c r="F156" s="458"/>
      <c r="G156" s="458"/>
      <c r="H156" s="459"/>
      <c r="I156" s="460"/>
      <c r="J156" s="461"/>
      <c r="K156" s="461"/>
      <c r="L156" s="461"/>
      <c r="M156" s="462"/>
      <c r="N156" s="283"/>
      <c r="O156" s="327"/>
      <c r="P156" s="328"/>
      <c r="Q156" s="329"/>
      <c r="R156" s="283"/>
      <c r="S156" s="327"/>
      <c r="T156" s="330"/>
    </row>
    <row r="157" spans="2:20">
      <c r="B157" s="353" t="s">
        <v>340</v>
      </c>
      <c r="C157" s="354" t="s">
        <v>334</v>
      </c>
      <c r="D157" s="457"/>
      <c r="E157" s="458"/>
      <c r="F157" s="458"/>
      <c r="G157" s="458"/>
      <c r="H157" s="459"/>
      <c r="I157" s="463">
        <f>1-I156</f>
        <v>1</v>
      </c>
      <c r="J157" s="464">
        <f>1-J156</f>
        <v>1</v>
      </c>
      <c r="K157" s="464">
        <f>1-K156</f>
        <v>1</v>
      </c>
      <c r="L157" s="464">
        <f>1-L156</f>
        <v>1</v>
      </c>
      <c r="M157" s="465">
        <f>1-M156</f>
        <v>1</v>
      </c>
      <c r="N157" s="283"/>
      <c r="O157" s="327"/>
      <c r="P157" s="328"/>
      <c r="Q157" s="329"/>
      <c r="R157" s="283"/>
      <c r="S157" s="327"/>
      <c r="T157" s="330"/>
    </row>
    <row r="158" spans="2:20">
      <c r="B158" s="353" t="s">
        <v>309</v>
      </c>
      <c r="C158" s="354" t="s">
        <v>223</v>
      </c>
      <c r="D158" s="454"/>
      <c r="E158" s="455"/>
      <c r="F158" s="455"/>
      <c r="G158" s="455"/>
      <c r="H158" s="456"/>
      <c r="I158" s="331"/>
      <c r="J158" s="333"/>
      <c r="K158" s="333"/>
      <c r="L158" s="333"/>
      <c r="M158" s="332"/>
      <c r="N158" s="283"/>
      <c r="O158" s="327"/>
      <c r="P158" s="328"/>
      <c r="Q158" s="329"/>
      <c r="R158" s="283"/>
      <c r="S158" s="327"/>
      <c r="T158" s="330"/>
    </row>
    <row r="159" spans="2:20">
      <c r="B159" s="353" t="s">
        <v>341</v>
      </c>
      <c r="C159" s="354" t="s">
        <v>334</v>
      </c>
      <c r="D159" s="454"/>
      <c r="E159" s="455"/>
      <c r="F159" s="455"/>
      <c r="G159" s="455"/>
      <c r="H159" s="456"/>
      <c r="I159" s="331"/>
      <c r="J159" s="333"/>
      <c r="K159" s="333"/>
      <c r="L159" s="333"/>
      <c r="M159" s="332"/>
      <c r="N159" s="283"/>
      <c r="O159" s="327"/>
      <c r="P159" s="328"/>
      <c r="Q159" s="329"/>
      <c r="R159" s="283"/>
      <c r="S159" s="327"/>
      <c r="T159" s="330"/>
    </row>
    <row r="160" spans="2:20">
      <c r="B160" s="353" t="s">
        <v>342</v>
      </c>
      <c r="C160" s="354" t="s">
        <v>334</v>
      </c>
      <c r="D160" s="457"/>
      <c r="E160" s="458"/>
      <c r="F160" s="458"/>
      <c r="G160" s="458"/>
      <c r="H160" s="459"/>
      <c r="I160" s="463">
        <f>1-I159</f>
        <v>1</v>
      </c>
      <c r="J160" s="464">
        <f>1-J159</f>
        <v>1</v>
      </c>
      <c r="K160" s="464">
        <f>1-K159</f>
        <v>1</v>
      </c>
      <c r="L160" s="464">
        <f>1-L159</f>
        <v>1</v>
      </c>
      <c r="M160" s="465">
        <f>1-M159</f>
        <v>1</v>
      </c>
      <c r="N160" s="283"/>
      <c r="O160" s="327"/>
      <c r="P160" s="328"/>
      <c r="Q160" s="329"/>
      <c r="R160" s="283"/>
      <c r="S160" s="327"/>
      <c r="T160" s="330"/>
    </row>
    <row r="161" spans="2:20">
      <c r="B161" s="361" t="s">
        <v>270</v>
      </c>
      <c r="C161" s="354" t="s">
        <v>223</v>
      </c>
      <c r="D161" s="316"/>
      <c r="E161" s="331"/>
      <c r="F161" s="331"/>
      <c r="G161" s="331"/>
      <c r="H161" s="332"/>
      <c r="I161" s="362">
        <f>SUM(I155,I158)</f>
        <v>0</v>
      </c>
      <c r="J161" s="307">
        <f>SUM(J155,J158)</f>
        <v>0</v>
      </c>
      <c r="K161" s="307">
        <f>SUM(K155,K158)</f>
        <v>0</v>
      </c>
      <c r="L161" s="307">
        <f>SUM(L155,L158)</f>
        <v>0</v>
      </c>
      <c r="M161" s="308">
        <f>SUM(M155,M158)</f>
        <v>0</v>
      </c>
      <c r="N161" s="283"/>
      <c r="O161" s="306">
        <f>SUM(D161:G161)</f>
        <v>0</v>
      </c>
      <c r="P161" s="307">
        <f>SUM(H161)</f>
        <v>0</v>
      </c>
      <c r="Q161" s="308">
        <f>SUM(D161:H161)</f>
        <v>0</v>
      </c>
      <c r="R161" s="283"/>
      <c r="S161" s="306">
        <f>SUM(I161:M161)</f>
        <v>0</v>
      </c>
      <c r="T161" s="309" t="str">
        <f>IF(Q161&lt;&gt;0,(S161-Q161)/Q161,"0")</f>
        <v>0</v>
      </c>
    </row>
    <row r="162" spans="2:20">
      <c r="B162" s="345" t="s">
        <v>343</v>
      </c>
      <c r="C162" s="363"/>
      <c r="D162" s="364"/>
      <c r="E162" s="365"/>
      <c r="F162" s="365"/>
      <c r="G162" s="365"/>
      <c r="H162" s="366"/>
      <c r="I162" s="365"/>
      <c r="J162" s="365"/>
      <c r="K162" s="365"/>
      <c r="L162" s="365"/>
      <c r="M162" s="366"/>
      <c r="N162" s="283"/>
      <c r="O162" s="364"/>
      <c r="P162" s="365"/>
      <c r="Q162" s="366"/>
      <c r="R162" s="283"/>
      <c r="S162" s="364"/>
      <c r="T162" s="366"/>
    </row>
    <row r="163" spans="2:20">
      <c r="B163" s="353" t="s">
        <v>310</v>
      </c>
      <c r="C163" s="354" t="s">
        <v>223</v>
      </c>
      <c r="D163" s="454"/>
      <c r="E163" s="455"/>
      <c r="F163" s="455"/>
      <c r="G163" s="455"/>
      <c r="H163" s="456"/>
      <c r="I163" s="331"/>
      <c r="J163" s="333"/>
      <c r="K163" s="333"/>
      <c r="L163" s="333"/>
      <c r="M163" s="332"/>
      <c r="N163" s="283"/>
      <c r="O163" s="327"/>
      <c r="P163" s="328"/>
      <c r="Q163" s="329"/>
      <c r="R163" s="283"/>
      <c r="S163" s="327"/>
      <c r="T163" s="330"/>
    </row>
    <row r="164" spans="2:20">
      <c r="B164" s="353" t="s">
        <v>344</v>
      </c>
      <c r="C164" s="354" t="s">
        <v>334</v>
      </c>
      <c r="D164" s="457"/>
      <c r="E164" s="458"/>
      <c r="F164" s="458"/>
      <c r="G164" s="458"/>
      <c r="H164" s="459"/>
      <c r="I164" s="460"/>
      <c r="J164" s="461"/>
      <c r="K164" s="461"/>
      <c r="L164" s="461"/>
      <c r="M164" s="462"/>
      <c r="N164" s="283"/>
      <c r="O164" s="327"/>
      <c r="P164" s="328"/>
      <c r="Q164" s="329"/>
      <c r="R164" s="283"/>
      <c r="S164" s="327"/>
      <c r="T164" s="330"/>
    </row>
    <row r="165" spans="2:20">
      <c r="B165" s="353" t="s">
        <v>345</v>
      </c>
      <c r="C165" s="354" t="s">
        <v>334</v>
      </c>
      <c r="D165" s="457"/>
      <c r="E165" s="458"/>
      <c r="F165" s="458"/>
      <c r="G165" s="458"/>
      <c r="H165" s="459"/>
      <c r="I165" s="463">
        <f>1-I164</f>
        <v>1</v>
      </c>
      <c r="J165" s="464">
        <f>1-J164</f>
        <v>1</v>
      </c>
      <c r="K165" s="464">
        <f>1-K164</f>
        <v>1</v>
      </c>
      <c r="L165" s="464">
        <f>1-L164</f>
        <v>1</v>
      </c>
      <c r="M165" s="465">
        <f>1-M164</f>
        <v>1</v>
      </c>
      <c r="N165" s="283"/>
      <c r="O165" s="327"/>
      <c r="P165" s="328"/>
      <c r="Q165" s="329"/>
      <c r="R165" s="283"/>
      <c r="S165" s="327"/>
      <c r="T165" s="330"/>
    </row>
    <row r="166" spans="2:20">
      <c r="B166" s="353" t="s">
        <v>311</v>
      </c>
      <c r="C166" s="354" t="s">
        <v>223</v>
      </c>
      <c r="D166" s="454"/>
      <c r="E166" s="455"/>
      <c r="F166" s="455"/>
      <c r="G166" s="455"/>
      <c r="H166" s="456"/>
      <c r="I166" s="331"/>
      <c r="J166" s="333"/>
      <c r="K166" s="333"/>
      <c r="L166" s="333"/>
      <c r="M166" s="332"/>
      <c r="N166" s="283"/>
      <c r="O166" s="327"/>
      <c r="P166" s="328"/>
      <c r="Q166" s="329"/>
      <c r="R166" s="283"/>
      <c r="S166" s="327"/>
      <c r="T166" s="330"/>
    </row>
    <row r="167" spans="2:20">
      <c r="B167" s="353" t="s">
        <v>346</v>
      </c>
      <c r="C167" s="354" t="s">
        <v>334</v>
      </c>
      <c r="D167" s="466"/>
      <c r="E167" s="467"/>
      <c r="F167" s="467"/>
      <c r="G167" s="467"/>
      <c r="H167" s="468"/>
      <c r="I167" s="469"/>
      <c r="J167" s="470"/>
      <c r="K167" s="470"/>
      <c r="L167" s="470"/>
      <c r="M167" s="471"/>
      <c r="N167" s="283"/>
      <c r="O167" s="327"/>
      <c r="P167" s="328"/>
      <c r="Q167" s="329"/>
      <c r="R167" s="283"/>
      <c r="S167" s="327"/>
      <c r="T167" s="330"/>
    </row>
    <row r="168" spans="2:20">
      <c r="B168" s="353" t="s">
        <v>347</v>
      </c>
      <c r="C168" s="354" t="s">
        <v>334</v>
      </c>
      <c r="D168" s="457"/>
      <c r="E168" s="458"/>
      <c r="F168" s="458"/>
      <c r="G168" s="458"/>
      <c r="H168" s="459"/>
      <c r="I168" s="463">
        <f>1-I167</f>
        <v>1</v>
      </c>
      <c r="J168" s="464">
        <f>1-J167</f>
        <v>1</v>
      </c>
      <c r="K168" s="464">
        <f>1-K167</f>
        <v>1</v>
      </c>
      <c r="L168" s="464">
        <f>1-L167</f>
        <v>1</v>
      </c>
      <c r="M168" s="465">
        <f>1-M167</f>
        <v>1</v>
      </c>
      <c r="N168" s="283"/>
      <c r="O168" s="327"/>
      <c r="P168" s="328"/>
      <c r="Q168" s="329"/>
      <c r="R168" s="283"/>
      <c r="S168" s="327"/>
      <c r="T168" s="330"/>
    </row>
    <row r="169" spans="2:20">
      <c r="B169" s="361" t="s">
        <v>272</v>
      </c>
      <c r="C169" s="354" t="s">
        <v>223</v>
      </c>
      <c r="D169" s="316"/>
      <c r="E169" s="331"/>
      <c r="F169" s="331"/>
      <c r="G169" s="331"/>
      <c r="H169" s="332"/>
      <c r="I169" s="362">
        <f>SUM(I163,I166)</f>
        <v>0</v>
      </c>
      <c r="J169" s="307">
        <f>SUM(J163,J166)</f>
        <v>0</v>
      </c>
      <c r="K169" s="307">
        <f>SUM(K163,K166)</f>
        <v>0</v>
      </c>
      <c r="L169" s="307">
        <f>SUM(L163,L166)</f>
        <v>0</v>
      </c>
      <c r="M169" s="308">
        <f>SUM(M163,M166)</f>
        <v>0</v>
      </c>
      <c r="N169" s="283"/>
      <c r="O169" s="306">
        <f>SUM(D169:G169)</f>
        <v>0</v>
      </c>
      <c r="P169" s="307">
        <f>SUM(H169)</f>
        <v>0</v>
      </c>
      <c r="Q169" s="308">
        <f>SUM(D169:H169)</f>
        <v>0</v>
      </c>
      <c r="R169" s="283"/>
      <c r="S169" s="306">
        <f>SUM(I169:M169)</f>
        <v>0</v>
      </c>
      <c r="T169" s="309" t="str">
        <f>IF(Q169&lt;&gt;0,(S169-Q169)/Q169,"0")</f>
        <v>0</v>
      </c>
    </row>
    <row r="170" spans="2:20">
      <c r="B170" s="345" t="s">
        <v>348</v>
      </c>
      <c r="C170" s="363"/>
      <c r="D170" s="364"/>
      <c r="E170" s="365"/>
      <c r="F170" s="365"/>
      <c r="G170" s="365"/>
      <c r="H170" s="366"/>
      <c r="I170" s="365"/>
      <c r="J170" s="365"/>
      <c r="K170" s="365"/>
      <c r="L170" s="365"/>
      <c r="M170" s="366"/>
      <c r="N170" s="283"/>
      <c r="O170" s="364"/>
      <c r="P170" s="365"/>
      <c r="Q170" s="366"/>
      <c r="R170" s="283"/>
      <c r="S170" s="364"/>
      <c r="T170" s="366"/>
    </row>
    <row r="171" spans="2:20">
      <c r="B171" s="353" t="s">
        <v>312</v>
      </c>
      <c r="C171" s="354" t="s">
        <v>223</v>
      </c>
      <c r="D171" s="454"/>
      <c r="E171" s="455"/>
      <c r="F171" s="455"/>
      <c r="G171" s="455"/>
      <c r="H171" s="456"/>
      <c r="I171" s="331"/>
      <c r="J171" s="333"/>
      <c r="K171" s="333"/>
      <c r="L171" s="333"/>
      <c r="M171" s="332"/>
      <c r="N171" s="283"/>
      <c r="O171" s="327"/>
      <c r="P171" s="328"/>
      <c r="Q171" s="329"/>
      <c r="R171" s="283"/>
      <c r="S171" s="327"/>
      <c r="T171" s="330"/>
    </row>
    <row r="172" spans="2:20">
      <c r="B172" s="353" t="s">
        <v>349</v>
      </c>
      <c r="C172" s="354" t="s">
        <v>334</v>
      </c>
      <c r="D172" s="457"/>
      <c r="E172" s="458"/>
      <c r="F172" s="458"/>
      <c r="G172" s="458"/>
      <c r="H172" s="459"/>
      <c r="I172" s="460"/>
      <c r="J172" s="461"/>
      <c r="K172" s="461"/>
      <c r="L172" s="461"/>
      <c r="M172" s="462"/>
      <c r="N172" s="283"/>
      <c r="O172" s="327"/>
      <c r="P172" s="328"/>
      <c r="Q172" s="329"/>
      <c r="R172" s="283"/>
      <c r="S172" s="327"/>
      <c r="T172" s="330"/>
    </row>
    <row r="173" spans="2:20">
      <c r="B173" s="353" t="s">
        <v>350</v>
      </c>
      <c r="C173" s="354" t="s">
        <v>334</v>
      </c>
      <c r="D173" s="457"/>
      <c r="E173" s="458"/>
      <c r="F173" s="458"/>
      <c r="G173" s="458"/>
      <c r="H173" s="459"/>
      <c r="I173" s="463">
        <f>1-I172</f>
        <v>1</v>
      </c>
      <c r="J173" s="464">
        <f>1-J172</f>
        <v>1</v>
      </c>
      <c r="K173" s="464">
        <f>1-K172</f>
        <v>1</v>
      </c>
      <c r="L173" s="464">
        <f>1-L172</f>
        <v>1</v>
      </c>
      <c r="M173" s="465">
        <f>1-M172</f>
        <v>1</v>
      </c>
      <c r="N173" s="283"/>
      <c r="O173" s="327"/>
      <c r="P173" s="328"/>
      <c r="Q173" s="329"/>
      <c r="R173" s="283"/>
      <c r="S173" s="327"/>
      <c r="T173" s="330"/>
    </row>
    <row r="174" spans="2:20">
      <c r="B174" s="353" t="s">
        <v>313</v>
      </c>
      <c r="C174" s="354" t="s">
        <v>223</v>
      </c>
      <c r="D174" s="454"/>
      <c r="E174" s="455"/>
      <c r="F174" s="455"/>
      <c r="G174" s="455"/>
      <c r="H174" s="456"/>
      <c r="I174" s="331"/>
      <c r="J174" s="333"/>
      <c r="K174" s="333"/>
      <c r="L174" s="333"/>
      <c r="M174" s="332"/>
      <c r="N174" s="283"/>
      <c r="O174" s="327"/>
      <c r="P174" s="328"/>
      <c r="Q174" s="329"/>
      <c r="R174" s="283"/>
      <c r="S174" s="327"/>
      <c r="T174" s="330"/>
    </row>
    <row r="175" spans="2:20">
      <c r="B175" s="353" t="s">
        <v>351</v>
      </c>
      <c r="C175" s="354" t="s">
        <v>334</v>
      </c>
      <c r="D175" s="466"/>
      <c r="E175" s="467"/>
      <c r="F175" s="467"/>
      <c r="G175" s="467"/>
      <c r="H175" s="468"/>
      <c r="I175" s="469"/>
      <c r="J175" s="470"/>
      <c r="K175" s="470"/>
      <c r="L175" s="470"/>
      <c r="M175" s="471"/>
      <c r="N175" s="283"/>
      <c r="O175" s="327"/>
      <c r="P175" s="328"/>
      <c r="Q175" s="329"/>
      <c r="R175" s="283"/>
      <c r="S175" s="327"/>
      <c r="T175" s="330"/>
    </row>
    <row r="176" spans="2:20">
      <c r="B176" s="353" t="s">
        <v>352</v>
      </c>
      <c r="C176" s="354" t="s">
        <v>334</v>
      </c>
      <c r="D176" s="457"/>
      <c r="E176" s="458"/>
      <c r="F176" s="458"/>
      <c r="G176" s="458"/>
      <c r="H176" s="459"/>
      <c r="I176" s="463">
        <f>1-I175</f>
        <v>1</v>
      </c>
      <c r="J176" s="464">
        <f>1-J175</f>
        <v>1</v>
      </c>
      <c r="K176" s="464">
        <f>1-K175</f>
        <v>1</v>
      </c>
      <c r="L176" s="464">
        <f>1-L175</f>
        <v>1</v>
      </c>
      <c r="M176" s="465">
        <f>1-M175</f>
        <v>1</v>
      </c>
      <c r="N176" s="283"/>
      <c r="O176" s="327"/>
      <c r="P176" s="328"/>
      <c r="Q176" s="329"/>
      <c r="R176" s="283"/>
      <c r="S176" s="327"/>
      <c r="T176" s="330"/>
    </row>
    <row r="177" spans="2:20">
      <c r="B177" s="472" t="s">
        <v>274</v>
      </c>
      <c r="C177" s="354" t="s">
        <v>223</v>
      </c>
      <c r="D177" s="473"/>
      <c r="E177" s="474"/>
      <c r="F177" s="474"/>
      <c r="G177" s="474"/>
      <c r="H177" s="475"/>
      <c r="I177" s="476">
        <f>SUM(I171,I174)</f>
        <v>0</v>
      </c>
      <c r="J177" s="477">
        <f>SUM(J171,J174)</f>
        <v>0</v>
      </c>
      <c r="K177" s="477">
        <f>SUM(K171,K174)</f>
        <v>0</v>
      </c>
      <c r="L177" s="477">
        <f>SUM(L171,L174)</f>
        <v>0</v>
      </c>
      <c r="M177" s="478">
        <f>SUM(M171,M174)</f>
        <v>0</v>
      </c>
      <c r="N177" s="283"/>
      <c r="O177" s="306">
        <f>SUM(D177:G177)</f>
        <v>0</v>
      </c>
      <c r="P177" s="307">
        <f>SUM(H177)</f>
        <v>0</v>
      </c>
      <c r="Q177" s="308">
        <f>SUM(D177:H177)</f>
        <v>0</v>
      </c>
      <c r="R177" s="283"/>
      <c r="S177" s="306">
        <f>SUM(I177:M177)</f>
        <v>0</v>
      </c>
      <c r="T177" s="309" t="str">
        <f>IF(Q177&lt;&gt;0,(S177-Q177)/Q177,"0")</f>
        <v>0</v>
      </c>
    </row>
    <row r="178" spans="2:20" ht="13.5" thickBot="1">
      <c r="B178" s="479" t="s">
        <v>353</v>
      </c>
      <c r="C178" s="480"/>
      <c r="D178" s="481">
        <f t="shared" ref="D178:M178" si="23">SUM(D153,D161,D169,D177)</f>
        <v>0</v>
      </c>
      <c r="E178" s="481">
        <f t="shared" si="23"/>
        <v>0</v>
      </c>
      <c r="F178" s="481">
        <f t="shared" si="23"/>
        <v>0</v>
      </c>
      <c r="G178" s="481">
        <f t="shared" si="23"/>
        <v>0</v>
      </c>
      <c r="H178" s="481">
        <f t="shared" si="23"/>
        <v>0</v>
      </c>
      <c r="I178" s="482">
        <f t="shared" si="23"/>
        <v>0</v>
      </c>
      <c r="J178" s="482">
        <f t="shared" si="23"/>
        <v>0</v>
      </c>
      <c r="K178" s="482">
        <f t="shared" si="23"/>
        <v>0</v>
      </c>
      <c r="L178" s="482">
        <f t="shared" si="23"/>
        <v>0</v>
      </c>
      <c r="M178" s="483">
        <f t="shared" si="23"/>
        <v>0</v>
      </c>
      <c r="N178" s="283"/>
      <c r="O178" s="338">
        <f>SUM(O153,O161,O169,O177)</f>
        <v>0</v>
      </c>
      <c r="P178" s="339">
        <f>SUM(P153,P161,P169,P177)</f>
        <v>0</v>
      </c>
      <c r="Q178" s="340">
        <f>SUM(Q153,Q161,Q169,Q177)</f>
        <v>0</v>
      </c>
      <c r="R178" s="283"/>
      <c r="S178" s="338">
        <f>SUM(S153,S161,S169,S177)</f>
        <v>0</v>
      </c>
      <c r="T178" s="341" t="str">
        <f>IF(Q178&lt;&gt;0,(S178-Q178)/Q178,"0")</f>
        <v>0</v>
      </c>
    </row>
    <row r="179" spans="2:20">
      <c r="C179" s="280"/>
      <c r="D179" s="280"/>
      <c r="E179" s="280"/>
      <c r="F179" s="280"/>
      <c r="G179" s="280"/>
      <c r="H179" s="280"/>
      <c r="I179" s="280"/>
      <c r="J179" s="280"/>
      <c r="K179" s="280"/>
      <c r="L179" s="280"/>
      <c r="M179" s="280"/>
      <c r="N179" s="280"/>
      <c r="O179" s="280"/>
      <c r="P179" s="280"/>
      <c r="Q179" s="280"/>
      <c r="R179" s="280"/>
      <c r="S179" s="280"/>
      <c r="T179" s="280"/>
    </row>
    <row r="180" spans="2:20">
      <c r="B180" s="342" t="s">
        <v>354</v>
      </c>
      <c r="C180" s="343"/>
      <c r="D180" s="344"/>
      <c r="E180" s="344"/>
      <c r="F180" s="344"/>
      <c r="G180" s="344"/>
      <c r="H180" s="344"/>
      <c r="I180" s="344"/>
      <c r="J180" s="344"/>
      <c r="K180" s="344"/>
      <c r="L180" s="344"/>
      <c r="M180" s="344"/>
      <c r="N180" s="283"/>
      <c r="O180" s="344"/>
      <c r="P180" s="344"/>
      <c r="Q180" s="344"/>
      <c r="R180" s="283"/>
      <c r="S180" s="344"/>
      <c r="T180" s="344"/>
    </row>
    <row r="181" spans="2:20" ht="13.5" thickBot="1">
      <c r="B181" s="342"/>
      <c r="C181" s="343"/>
      <c r="D181" s="344"/>
      <c r="E181" s="344"/>
      <c r="F181" s="344"/>
      <c r="G181" s="344"/>
      <c r="H181" s="344"/>
      <c r="I181" s="344"/>
      <c r="J181" s="344"/>
      <c r="K181" s="344"/>
      <c r="L181" s="344"/>
      <c r="M181" s="344"/>
      <c r="N181" s="283"/>
      <c r="O181" s="344"/>
      <c r="P181" s="344"/>
      <c r="Q181" s="344"/>
      <c r="R181" s="283"/>
      <c r="S181" s="344"/>
      <c r="T181" s="344"/>
    </row>
    <row r="182" spans="2:20">
      <c r="B182" s="1501" t="s">
        <v>263</v>
      </c>
      <c r="C182" s="1499" t="s">
        <v>210</v>
      </c>
      <c r="D182" s="286" t="s">
        <v>211</v>
      </c>
      <c r="E182" s="287"/>
      <c r="F182" s="287"/>
      <c r="G182" s="287"/>
      <c r="H182" s="288"/>
      <c r="I182" s="287" t="s">
        <v>212</v>
      </c>
      <c r="J182" s="289"/>
      <c r="K182" s="289"/>
      <c r="L182" s="289"/>
      <c r="M182" s="288"/>
      <c r="N182" s="283"/>
      <c r="O182" s="290" t="s">
        <v>211</v>
      </c>
      <c r="P182" s="291"/>
      <c r="Q182" s="292"/>
      <c r="R182" s="283"/>
      <c r="S182" s="290" t="s">
        <v>212</v>
      </c>
      <c r="T182" s="292"/>
    </row>
    <row r="183" spans="2:20">
      <c r="B183" s="1502"/>
      <c r="C183" s="1500"/>
      <c r="D183" s="294" t="s">
        <v>99</v>
      </c>
      <c r="E183" s="295" t="s">
        <v>100</v>
      </c>
      <c r="F183" s="295" t="s">
        <v>101</v>
      </c>
      <c r="G183" s="295" t="s">
        <v>102</v>
      </c>
      <c r="H183" s="296" t="s">
        <v>64</v>
      </c>
      <c r="I183" s="297" t="s">
        <v>213</v>
      </c>
      <c r="J183" s="295" t="s">
        <v>214</v>
      </c>
      <c r="K183" s="295" t="s">
        <v>215</v>
      </c>
      <c r="L183" s="295" t="s">
        <v>216</v>
      </c>
      <c r="M183" s="296" t="s">
        <v>217</v>
      </c>
      <c r="N183" s="283"/>
      <c r="O183" s="298" t="s">
        <v>218</v>
      </c>
      <c r="P183" s="299" t="s">
        <v>219</v>
      </c>
      <c r="Q183" s="300" t="s">
        <v>220</v>
      </c>
      <c r="R183" s="283"/>
      <c r="S183" s="298" t="s">
        <v>219</v>
      </c>
      <c r="T183" s="300" t="s">
        <v>221</v>
      </c>
    </row>
    <row r="184" spans="2:20">
      <c r="B184" s="452" t="s">
        <v>264</v>
      </c>
      <c r="C184" s="453"/>
      <c r="D184" s="373"/>
      <c r="E184" s="374"/>
      <c r="F184" s="374"/>
      <c r="G184" s="374"/>
      <c r="H184" s="375"/>
      <c r="I184" s="377"/>
      <c r="J184" s="377"/>
      <c r="K184" s="377"/>
      <c r="L184" s="377"/>
      <c r="M184" s="378"/>
      <c r="N184" s="283"/>
      <c r="O184" s="376"/>
      <c r="P184" s="377"/>
      <c r="Q184" s="378"/>
      <c r="R184" s="283"/>
      <c r="S184" s="376"/>
      <c r="T184" s="378"/>
    </row>
    <row r="185" spans="2:20">
      <c r="B185" s="345" t="s">
        <v>265</v>
      </c>
      <c r="C185" s="346"/>
      <c r="D185" s="347"/>
      <c r="E185" s="348"/>
      <c r="F185" s="348"/>
      <c r="G185" s="348"/>
      <c r="H185" s="349"/>
      <c r="I185" s="348"/>
      <c r="J185" s="348"/>
      <c r="K185" s="348"/>
      <c r="L185" s="348"/>
      <c r="M185" s="349"/>
      <c r="N185" s="283"/>
      <c r="O185" s="350"/>
      <c r="P185" s="351"/>
      <c r="Q185" s="352"/>
      <c r="R185" s="283"/>
      <c r="S185" s="347"/>
      <c r="T185" s="349"/>
    </row>
    <row r="186" spans="2:20">
      <c r="B186" s="353" t="s">
        <v>306</v>
      </c>
      <c r="C186" s="354" t="s">
        <v>223</v>
      </c>
      <c r="D186" s="454"/>
      <c r="E186" s="455"/>
      <c r="F186" s="455"/>
      <c r="G186" s="455"/>
      <c r="H186" s="456"/>
      <c r="I186" s="331"/>
      <c r="J186" s="333"/>
      <c r="K186" s="333"/>
      <c r="L186" s="333"/>
      <c r="M186" s="332"/>
      <c r="N186" s="283"/>
      <c r="O186" s="327"/>
      <c r="P186" s="328"/>
      <c r="Q186" s="329"/>
      <c r="R186" s="283"/>
      <c r="S186" s="327"/>
      <c r="T186" s="330"/>
    </row>
    <row r="187" spans="2:20">
      <c r="B187" s="353" t="s">
        <v>333</v>
      </c>
      <c r="C187" s="354" t="s">
        <v>334</v>
      </c>
      <c r="D187" s="457"/>
      <c r="E187" s="458"/>
      <c r="F187" s="458"/>
      <c r="G187" s="458"/>
      <c r="H187" s="459"/>
      <c r="I187" s="460"/>
      <c r="J187" s="461"/>
      <c r="K187" s="461"/>
      <c r="L187" s="461"/>
      <c r="M187" s="462"/>
      <c r="N187" s="283"/>
      <c r="O187" s="327"/>
      <c r="P187" s="328"/>
      <c r="Q187" s="329"/>
      <c r="R187" s="283"/>
      <c r="S187" s="327"/>
      <c r="T187" s="330"/>
    </row>
    <row r="188" spans="2:20">
      <c r="B188" s="353" t="s">
        <v>335</v>
      </c>
      <c r="C188" s="354" t="s">
        <v>334</v>
      </c>
      <c r="D188" s="457"/>
      <c r="E188" s="458"/>
      <c r="F188" s="458"/>
      <c r="G188" s="458"/>
      <c r="H188" s="459"/>
      <c r="I188" s="463">
        <f>1-I187</f>
        <v>1</v>
      </c>
      <c r="J188" s="464">
        <f>1-J187</f>
        <v>1</v>
      </c>
      <c r="K188" s="464">
        <f>1-K187</f>
        <v>1</v>
      </c>
      <c r="L188" s="464">
        <f>1-L187</f>
        <v>1</v>
      </c>
      <c r="M188" s="465">
        <f>1-M187</f>
        <v>1</v>
      </c>
      <c r="N188" s="283"/>
      <c r="O188" s="327"/>
      <c r="P188" s="328"/>
      <c r="Q188" s="329"/>
      <c r="R188" s="283"/>
      <c r="S188" s="327"/>
      <c r="T188" s="330"/>
    </row>
    <row r="189" spans="2:20">
      <c r="B189" s="353" t="s">
        <v>307</v>
      </c>
      <c r="C189" s="354" t="s">
        <v>223</v>
      </c>
      <c r="D189" s="454"/>
      <c r="E189" s="455"/>
      <c r="F189" s="455"/>
      <c r="G189" s="455"/>
      <c r="H189" s="456"/>
      <c r="I189" s="331"/>
      <c r="J189" s="333"/>
      <c r="K189" s="333"/>
      <c r="L189" s="333"/>
      <c r="M189" s="332"/>
      <c r="N189" s="283"/>
      <c r="O189" s="327"/>
      <c r="P189" s="328"/>
      <c r="Q189" s="329"/>
      <c r="R189" s="283"/>
      <c r="S189" s="327"/>
      <c r="T189" s="330"/>
    </row>
    <row r="190" spans="2:20">
      <c r="B190" s="353" t="s">
        <v>336</v>
      </c>
      <c r="C190" s="354" t="s">
        <v>334</v>
      </c>
      <c r="D190" s="454"/>
      <c r="E190" s="455"/>
      <c r="F190" s="455"/>
      <c r="G190" s="455"/>
      <c r="H190" s="456"/>
      <c r="I190" s="331"/>
      <c r="J190" s="333"/>
      <c r="K190" s="333"/>
      <c r="L190" s="333"/>
      <c r="M190" s="332"/>
      <c r="N190" s="283"/>
      <c r="O190" s="327"/>
      <c r="P190" s="328"/>
      <c r="Q190" s="329"/>
      <c r="R190" s="283"/>
      <c r="S190" s="327"/>
      <c r="T190" s="330"/>
    </row>
    <row r="191" spans="2:20">
      <c r="B191" s="353" t="s">
        <v>337</v>
      </c>
      <c r="C191" s="354" t="s">
        <v>334</v>
      </c>
      <c r="D191" s="457"/>
      <c r="E191" s="458"/>
      <c r="F191" s="458"/>
      <c r="G191" s="458"/>
      <c r="H191" s="459"/>
      <c r="I191" s="463">
        <f>1-I190</f>
        <v>1</v>
      </c>
      <c r="J191" s="464">
        <f>1-J190</f>
        <v>1</v>
      </c>
      <c r="K191" s="464">
        <f>1-K190</f>
        <v>1</v>
      </c>
      <c r="L191" s="464">
        <f>1-L190</f>
        <v>1</v>
      </c>
      <c r="M191" s="465">
        <f>1-M190</f>
        <v>1</v>
      </c>
      <c r="N191" s="283"/>
      <c r="O191" s="327"/>
      <c r="P191" s="328"/>
      <c r="Q191" s="329"/>
      <c r="R191" s="283"/>
      <c r="S191" s="327"/>
      <c r="T191" s="330"/>
    </row>
    <row r="192" spans="2:20">
      <c r="B192" s="361" t="s">
        <v>268</v>
      </c>
      <c r="C192" s="354" t="s">
        <v>223</v>
      </c>
      <c r="D192" s="316"/>
      <c r="E192" s="331"/>
      <c r="F192" s="331"/>
      <c r="G192" s="331"/>
      <c r="H192" s="332"/>
      <c r="I192" s="362">
        <f>SUM(I186,I189)</f>
        <v>0</v>
      </c>
      <c r="J192" s="307">
        <f>SUM(J186,J189)</f>
        <v>0</v>
      </c>
      <c r="K192" s="307">
        <f>SUM(K186,K189)</f>
        <v>0</v>
      </c>
      <c r="L192" s="307">
        <f>SUM(L186,L189)</f>
        <v>0</v>
      </c>
      <c r="M192" s="308">
        <f>SUM(M186,M189)</f>
        <v>0</v>
      </c>
      <c r="N192" s="283"/>
      <c r="O192" s="306">
        <f>SUM(D192:G192)</f>
        <v>0</v>
      </c>
      <c r="P192" s="307">
        <f>SUM(H192)</f>
        <v>0</v>
      </c>
      <c r="Q192" s="308">
        <f>SUM(D192:H192)</f>
        <v>0</v>
      </c>
      <c r="R192" s="283"/>
      <c r="S192" s="306">
        <f>SUM(I192:M192)</f>
        <v>0</v>
      </c>
      <c r="T192" s="309" t="str">
        <f>IF(Q192&lt;&gt;0,(S192-Q192)/Q192,"0")</f>
        <v>0</v>
      </c>
    </row>
    <row r="193" spans="2:20">
      <c r="B193" s="345" t="s">
        <v>338</v>
      </c>
      <c r="C193" s="363"/>
      <c r="D193" s="364"/>
      <c r="E193" s="365"/>
      <c r="F193" s="365"/>
      <c r="G193" s="365"/>
      <c r="H193" s="366"/>
      <c r="I193" s="365"/>
      <c r="J193" s="365"/>
      <c r="K193" s="365"/>
      <c r="L193" s="365"/>
      <c r="M193" s="366"/>
      <c r="N193" s="283"/>
      <c r="O193" s="367"/>
      <c r="P193" s="365"/>
      <c r="Q193" s="366"/>
      <c r="R193" s="283"/>
      <c r="S193" s="364"/>
      <c r="T193" s="366"/>
    </row>
    <row r="194" spans="2:20">
      <c r="B194" s="353" t="s">
        <v>308</v>
      </c>
      <c r="C194" s="354" t="s">
        <v>223</v>
      </c>
      <c r="D194" s="454"/>
      <c r="E194" s="455"/>
      <c r="F194" s="455"/>
      <c r="G194" s="455"/>
      <c r="H194" s="456"/>
      <c r="I194" s="331"/>
      <c r="J194" s="333"/>
      <c r="K194" s="333"/>
      <c r="L194" s="333"/>
      <c r="M194" s="332"/>
      <c r="N194" s="283"/>
      <c r="O194" s="327"/>
      <c r="P194" s="328"/>
      <c r="Q194" s="329"/>
      <c r="R194" s="283"/>
      <c r="S194" s="327"/>
      <c r="T194" s="330"/>
    </row>
    <row r="195" spans="2:20">
      <c r="B195" s="353" t="s">
        <v>339</v>
      </c>
      <c r="C195" s="354" t="s">
        <v>334</v>
      </c>
      <c r="D195" s="457"/>
      <c r="E195" s="458"/>
      <c r="F195" s="458"/>
      <c r="G195" s="458"/>
      <c r="H195" s="459"/>
      <c r="I195" s="460"/>
      <c r="J195" s="461"/>
      <c r="K195" s="461"/>
      <c r="L195" s="461"/>
      <c r="M195" s="462"/>
      <c r="N195" s="283"/>
      <c r="O195" s="327"/>
      <c r="P195" s="328"/>
      <c r="Q195" s="329"/>
      <c r="R195" s="283"/>
      <c r="S195" s="327"/>
      <c r="T195" s="330"/>
    </row>
    <row r="196" spans="2:20">
      <c r="B196" s="353" t="s">
        <v>340</v>
      </c>
      <c r="C196" s="354" t="s">
        <v>334</v>
      </c>
      <c r="D196" s="457"/>
      <c r="E196" s="458"/>
      <c r="F196" s="458"/>
      <c r="G196" s="458"/>
      <c r="H196" s="459"/>
      <c r="I196" s="463">
        <f>1-I195</f>
        <v>1</v>
      </c>
      <c r="J196" s="464">
        <f>1-J195</f>
        <v>1</v>
      </c>
      <c r="K196" s="464">
        <f>1-K195</f>
        <v>1</v>
      </c>
      <c r="L196" s="464">
        <f>1-L195</f>
        <v>1</v>
      </c>
      <c r="M196" s="465">
        <f>1-M195</f>
        <v>1</v>
      </c>
      <c r="N196" s="283"/>
      <c r="O196" s="327"/>
      <c r="P196" s="328"/>
      <c r="Q196" s="329"/>
      <c r="R196" s="283"/>
      <c r="S196" s="327"/>
      <c r="T196" s="330"/>
    </row>
    <row r="197" spans="2:20">
      <c r="B197" s="353" t="s">
        <v>309</v>
      </c>
      <c r="C197" s="354" t="s">
        <v>223</v>
      </c>
      <c r="D197" s="454"/>
      <c r="E197" s="455"/>
      <c r="F197" s="455"/>
      <c r="G197" s="455"/>
      <c r="H197" s="456"/>
      <c r="I197" s="331"/>
      <c r="J197" s="333"/>
      <c r="K197" s="333"/>
      <c r="L197" s="333"/>
      <c r="M197" s="332"/>
      <c r="N197" s="283"/>
      <c r="O197" s="327"/>
      <c r="P197" s="328"/>
      <c r="Q197" s="329"/>
      <c r="R197" s="283"/>
      <c r="S197" s="327"/>
      <c r="T197" s="330"/>
    </row>
    <row r="198" spans="2:20">
      <c r="B198" s="353" t="s">
        <v>341</v>
      </c>
      <c r="C198" s="354" t="s">
        <v>334</v>
      </c>
      <c r="D198" s="454"/>
      <c r="E198" s="455"/>
      <c r="F198" s="455"/>
      <c r="G198" s="455"/>
      <c r="H198" s="456"/>
      <c r="I198" s="331"/>
      <c r="J198" s="333"/>
      <c r="K198" s="333"/>
      <c r="L198" s="333"/>
      <c r="M198" s="332"/>
      <c r="N198" s="283"/>
      <c r="O198" s="327"/>
      <c r="P198" s="328"/>
      <c r="Q198" s="329"/>
      <c r="R198" s="283"/>
      <c r="S198" s="327"/>
      <c r="T198" s="330"/>
    </row>
    <row r="199" spans="2:20">
      <c r="B199" s="353" t="s">
        <v>342</v>
      </c>
      <c r="C199" s="354" t="s">
        <v>334</v>
      </c>
      <c r="D199" s="457"/>
      <c r="E199" s="458"/>
      <c r="F199" s="458"/>
      <c r="G199" s="458"/>
      <c r="H199" s="459"/>
      <c r="I199" s="463">
        <f>1-I198</f>
        <v>1</v>
      </c>
      <c r="J199" s="464">
        <f>1-J198</f>
        <v>1</v>
      </c>
      <c r="K199" s="464">
        <f>1-K198</f>
        <v>1</v>
      </c>
      <c r="L199" s="464">
        <f>1-L198</f>
        <v>1</v>
      </c>
      <c r="M199" s="465">
        <f>1-M198</f>
        <v>1</v>
      </c>
      <c r="N199" s="283"/>
      <c r="O199" s="327"/>
      <c r="P199" s="328"/>
      <c r="Q199" s="329"/>
      <c r="R199" s="283"/>
      <c r="S199" s="327"/>
      <c r="T199" s="330"/>
    </row>
    <row r="200" spans="2:20">
      <c r="B200" s="361" t="s">
        <v>270</v>
      </c>
      <c r="C200" s="354" t="s">
        <v>223</v>
      </c>
      <c r="D200" s="316"/>
      <c r="E200" s="331"/>
      <c r="F200" s="331"/>
      <c r="G200" s="331"/>
      <c r="H200" s="332"/>
      <c r="I200" s="362">
        <f>SUM(I194,I197)</f>
        <v>0</v>
      </c>
      <c r="J200" s="307">
        <f>SUM(J194,J197)</f>
        <v>0</v>
      </c>
      <c r="K200" s="307">
        <f>SUM(K194,K197)</f>
        <v>0</v>
      </c>
      <c r="L200" s="307">
        <f>SUM(L194,L197)</f>
        <v>0</v>
      </c>
      <c r="M200" s="308">
        <f>SUM(M194,M197)</f>
        <v>0</v>
      </c>
      <c r="N200" s="283"/>
      <c r="O200" s="306">
        <f>SUM(D200:G200)</f>
        <v>0</v>
      </c>
      <c r="P200" s="307">
        <f>SUM(H200)</f>
        <v>0</v>
      </c>
      <c r="Q200" s="308">
        <f>SUM(D200:H200)</f>
        <v>0</v>
      </c>
      <c r="R200" s="283"/>
      <c r="S200" s="306">
        <f>SUM(I200:M200)</f>
        <v>0</v>
      </c>
      <c r="T200" s="309" t="str">
        <f>IF(Q200&lt;&gt;0,(S200-Q200)/Q200,"0")</f>
        <v>0</v>
      </c>
    </row>
    <row r="201" spans="2:20">
      <c r="B201" s="345" t="s">
        <v>343</v>
      </c>
      <c r="C201" s="363"/>
      <c r="D201" s="364"/>
      <c r="E201" s="365"/>
      <c r="F201" s="365"/>
      <c r="G201" s="365"/>
      <c r="H201" s="366"/>
      <c r="I201" s="365"/>
      <c r="J201" s="365"/>
      <c r="K201" s="365"/>
      <c r="L201" s="365"/>
      <c r="M201" s="366"/>
      <c r="N201" s="283"/>
      <c r="O201" s="364"/>
      <c r="P201" s="365"/>
      <c r="Q201" s="366"/>
      <c r="R201" s="283"/>
      <c r="S201" s="364"/>
      <c r="T201" s="366"/>
    </row>
    <row r="202" spans="2:20">
      <c r="B202" s="353" t="s">
        <v>310</v>
      </c>
      <c r="C202" s="354" t="s">
        <v>223</v>
      </c>
      <c r="D202" s="454"/>
      <c r="E202" s="455"/>
      <c r="F202" s="455"/>
      <c r="G202" s="455"/>
      <c r="H202" s="456"/>
      <c r="I202" s="331"/>
      <c r="J202" s="333"/>
      <c r="K202" s="333"/>
      <c r="L202" s="333"/>
      <c r="M202" s="332"/>
      <c r="N202" s="283"/>
      <c r="O202" s="327"/>
      <c r="P202" s="328"/>
      <c r="Q202" s="329"/>
      <c r="R202" s="283"/>
      <c r="S202" s="327"/>
      <c r="T202" s="330"/>
    </row>
    <row r="203" spans="2:20">
      <c r="B203" s="353" t="s">
        <v>344</v>
      </c>
      <c r="C203" s="354" t="s">
        <v>334</v>
      </c>
      <c r="D203" s="457"/>
      <c r="E203" s="458"/>
      <c r="F203" s="458"/>
      <c r="G203" s="458"/>
      <c r="H203" s="459"/>
      <c r="I203" s="460"/>
      <c r="J203" s="461"/>
      <c r="K203" s="461"/>
      <c r="L203" s="461"/>
      <c r="M203" s="462"/>
      <c r="N203" s="283"/>
      <c r="O203" s="327"/>
      <c r="P203" s="328"/>
      <c r="Q203" s="329"/>
      <c r="R203" s="283"/>
      <c r="S203" s="327"/>
      <c r="T203" s="330"/>
    </row>
    <row r="204" spans="2:20">
      <c r="B204" s="353" t="s">
        <v>345</v>
      </c>
      <c r="C204" s="354" t="s">
        <v>334</v>
      </c>
      <c r="D204" s="457"/>
      <c r="E204" s="458"/>
      <c r="F204" s="458"/>
      <c r="G204" s="458"/>
      <c r="H204" s="459"/>
      <c r="I204" s="463">
        <f>1-I203</f>
        <v>1</v>
      </c>
      <c r="J204" s="464">
        <f>1-J203</f>
        <v>1</v>
      </c>
      <c r="K204" s="464">
        <f>1-K203</f>
        <v>1</v>
      </c>
      <c r="L204" s="464">
        <f>1-L203</f>
        <v>1</v>
      </c>
      <c r="M204" s="465">
        <f>1-M203</f>
        <v>1</v>
      </c>
      <c r="N204" s="283"/>
      <c r="O204" s="327"/>
      <c r="P204" s="328"/>
      <c r="Q204" s="329"/>
      <c r="R204" s="283"/>
      <c r="S204" s="327"/>
      <c r="T204" s="330"/>
    </row>
    <row r="205" spans="2:20">
      <c r="B205" s="353" t="s">
        <v>311</v>
      </c>
      <c r="C205" s="354" t="s">
        <v>223</v>
      </c>
      <c r="D205" s="454"/>
      <c r="E205" s="455"/>
      <c r="F205" s="455"/>
      <c r="G205" s="455"/>
      <c r="H205" s="456"/>
      <c r="I205" s="331"/>
      <c r="J205" s="333"/>
      <c r="K205" s="333"/>
      <c r="L205" s="333"/>
      <c r="M205" s="332"/>
      <c r="N205" s="283"/>
      <c r="O205" s="327"/>
      <c r="P205" s="328"/>
      <c r="Q205" s="329"/>
      <c r="R205" s="283"/>
      <c r="S205" s="327"/>
      <c r="T205" s="330"/>
    </row>
    <row r="206" spans="2:20">
      <c r="B206" s="353" t="s">
        <v>346</v>
      </c>
      <c r="C206" s="354" t="s">
        <v>334</v>
      </c>
      <c r="D206" s="466"/>
      <c r="E206" s="467"/>
      <c r="F206" s="467"/>
      <c r="G206" s="467"/>
      <c r="H206" s="468"/>
      <c r="I206" s="469"/>
      <c r="J206" s="470"/>
      <c r="K206" s="470"/>
      <c r="L206" s="470"/>
      <c r="M206" s="471"/>
      <c r="N206" s="283"/>
      <c r="O206" s="327"/>
      <c r="P206" s="328"/>
      <c r="Q206" s="329"/>
      <c r="R206" s="283"/>
      <c r="S206" s="327"/>
      <c r="T206" s="330"/>
    </row>
    <row r="207" spans="2:20">
      <c r="B207" s="353" t="s">
        <v>347</v>
      </c>
      <c r="C207" s="354" t="s">
        <v>334</v>
      </c>
      <c r="D207" s="457"/>
      <c r="E207" s="458"/>
      <c r="F207" s="458"/>
      <c r="G207" s="458"/>
      <c r="H207" s="459"/>
      <c r="I207" s="463">
        <f>1-I206</f>
        <v>1</v>
      </c>
      <c r="J207" s="464">
        <f>1-J206</f>
        <v>1</v>
      </c>
      <c r="K207" s="464">
        <f>1-K206</f>
        <v>1</v>
      </c>
      <c r="L207" s="464">
        <f>1-L206</f>
        <v>1</v>
      </c>
      <c r="M207" s="465">
        <f>1-M206</f>
        <v>1</v>
      </c>
      <c r="N207" s="283"/>
      <c r="O207" s="327"/>
      <c r="P207" s="328"/>
      <c r="Q207" s="329"/>
      <c r="R207" s="283"/>
      <c r="S207" s="327"/>
      <c r="T207" s="330"/>
    </row>
    <row r="208" spans="2:20">
      <c r="B208" s="361" t="s">
        <v>272</v>
      </c>
      <c r="C208" s="354" t="s">
        <v>223</v>
      </c>
      <c r="D208" s="316"/>
      <c r="E208" s="331"/>
      <c r="F208" s="331"/>
      <c r="G208" s="331"/>
      <c r="H208" s="332"/>
      <c r="I208" s="362">
        <f>SUM(I202,I205)</f>
        <v>0</v>
      </c>
      <c r="J208" s="307">
        <f>SUM(J202,J205)</f>
        <v>0</v>
      </c>
      <c r="K208" s="307">
        <f>SUM(K202,K205)</f>
        <v>0</v>
      </c>
      <c r="L208" s="307">
        <f>SUM(L202,L205)</f>
        <v>0</v>
      </c>
      <c r="M208" s="308">
        <f>SUM(M202,M205)</f>
        <v>0</v>
      </c>
      <c r="N208" s="283"/>
      <c r="O208" s="306">
        <f>SUM(D208:G208)</f>
        <v>0</v>
      </c>
      <c r="P208" s="307">
        <f>SUM(H208)</f>
        <v>0</v>
      </c>
      <c r="Q208" s="308">
        <f>SUM(D208:H208)</f>
        <v>0</v>
      </c>
      <c r="R208" s="283"/>
      <c r="S208" s="306">
        <f>SUM(I208:M208)</f>
        <v>0</v>
      </c>
      <c r="T208" s="309" t="str">
        <f>IF(Q208&lt;&gt;0,(S208-Q208)/Q208,"0")</f>
        <v>0</v>
      </c>
    </row>
    <row r="209" spans="2:20">
      <c r="B209" s="345" t="s">
        <v>348</v>
      </c>
      <c r="C209" s="363"/>
      <c r="D209" s="364"/>
      <c r="E209" s="365"/>
      <c r="F209" s="365"/>
      <c r="G209" s="365"/>
      <c r="H209" s="366"/>
      <c r="I209" s="365"/>
      <c r="J209" s="365"/>
      <c r="K209" s="365"/>
      <c r="L209" s="365"/>
      <c r="M209" s="366"/>
      <c r="N209" s="283"/>
      <c r="O209" s="364"/>
      <c r="P209" s="365"/>
      <c r="Q209" s="366"/>
      <c r="R209" s="283"/>
      <c r="S209" s="364"/>
      <c r="T209" s="366"/>
    </row>
    <row r="210" spans="2:20">
      <c r="B210" s="353" t="s">
        <v>312</v>
      </c>
      <c r="C210" s="354" t="s">
        <v>223</v>
      </c>
      <c r="D210" s="454"/>
      <c r="E210" s="455"/>
      <c r="F210" s="455"/>
      <c r="G210" s="455"/>
      <c r="H210" s="456"/>
      <c r="I210" s="331"/>
      <c r="J210" s="333"/>
      <c r="K210" s="333"/>
      <c r="L210" s="333"/>
      <c r="M210" s="332"/>
      <c r="N210" s="283"/>
      <c r="O210" s="327"/>
      <c r="P210" s="328"/>
      <c r="Q210" s="329"/>
      <c r="R210" s="283"/>
      <c r="S210" s="327"/>
      <c r="T210" s="330"/>
    </row>
    <row r="211" spans="2:20">
      <c r="B211" s="353" t="s">
        <v>349</v>
      </c>
      <c r="C211" s="354" t="s">
        <v>334</v>
      </c>
      <c r="D211" s="457"/>
      <c r="E211" s="458"/>
      <c r="F211" s="458"/>
      <c r="G211" s="458"/>
      <c r="H211" s="459"/>
      <c r="I211" s="460"/>
      <c r="J211" s="461"/>
      <c r="K211" s="461"/>
      <c r="L211" s="461"/>
      <c r="M211" s="462"/>
      <c r="N211" s="283"/>
      <c r="O211" s="327"/>
      <c r="P211" s="328"/>
      <c r="Q211" s="329"/>
      <c r="R211" s="283"/>
      <c r="S211" s="327"/>
      <c r="T211" s="330"/>
    </row>
    <row r="212" spans="2:20">
      <c r="B212" s="353" t="s">
        <v>350</v>
      </c>
      <c r="C212" s="354" t="s">
        <v>334</v>
      </c>
      <c r="D212" s="457"/>
      <c r="E212" s="458"/>
      <c r="F212" s="458"/>
      <c r="G212" s="458"/>
      <c r="H212" s="459"/>
      <c r="I212" s="463">
        <f>1-I211</f>
        <v>1</v>
      </c>
      <c r="J212" s="464">
        <f>1-J211</f>
        <v>1</v>
      </c>
      <c r="K212" s="464">
        <f>1-K211</f>
        <v>1</v>
      </c>
      <c r="L212" s="464">
        <f>1-L211</f>
        <v>1</v>
      </c>
      <c r="M212" s="465">
        <f>1-M211</f>
        <v>1</v>
      </c>
      <c r="N212" s="283"/>
      <c r="O212" s="327"/>
      <c r="P212" s="328"/>
      <c r="Q212" s="329"/>
      <c r="R212" s="283"/>
      <c r="S212" s="327"/>
      <c r="T212" s="330"/>
    </row>
    <row r="213" spans="2:20">
      <c r="B213" s="353" t="s">
        <v>313</v>
      </c>
      <c r="C213" s="354" t="s">
        <v>223</v>
      </c>
      <c r="D213" s="454"/>
      <c r="E213" s="455"/>
      <c r="F213" s="455"/>
      <c r="G213" s="455"/>
      <c r="H213" s="456"/>
      <c r="I213" s="331"/>
      <c r="J213" s="333"/>
      <c r="K213" s="333"/>
      <c r="L213" s="333"/>
      <c r="M213" s="332"/>
      <c r="N213" s="283"/>
      <c r="O213" s="327"/>
      <c r="P213" s="328"/>
      <c r="Q213" s="329"/>
      <c r="R213" s="283"/>
      <c r="S213" s="327"/>
      <c r="T213" s="330"/>
    </row>
    <row r="214" spans="2:20">
      <c r="B214" s="353" t="s">
        <v>351</v>
      </c>
      <c r="C214" s="354" t="s">
        <v>334</v>
      </c>
      <c r="D214" s="466"/>
      <c r="E214" s="467"/>
      <c r="F214" s="467"/>
      <c r="G214" s="467"/>
      <c r="H214" s="468"/>
      <c r="I214" s="469"/>
      <c r="J214" s="470"/>
      <c r="K214" s="470"/>
      <c r="L214" s="470"/>
      <c r="M214" s="471"/>
      <c r="N214" s="283"/>
      <c r="O214" s="327"/>
      <c r="P214" s="328"/>
      <c r="Q214" s="329"/>
      <c r="R214" s="283"/>
      <c r="S214" s="327"/>
      <c r="T214" s="330"/>
    </row>
    <row r="215" spans="2:20">
      <c r="B215" s="353" t="s">
        <v>352</v>
      </c>
      <c r="C215" s="354" t="s">
        <v>334</v>
      </c>
      <c r="D215" s="457"/>
      <c r="E215" s="458"/>
      <c r="F215" s="458"/>
      <c r="G215" s="458"/>
      <c r="H215" s="459"/>
      <c r="I215" s="463">
        <f>1-I214</f>
        <v>1</v>
      </c>
      <c r="J215" s="464">
        <f>1-J214</f>
        <v>1</v>
      </c>
      <c r="K215" s="464">
        <f>1-K214</f>
        <v>1</v>
      </c>
      <c r="L215" s="464">
        <f>1-L214</f>
        <v>1</v>
      </c>
      <c r="M215" s="465">
        <f>1-M214</f>
        <v>1</v>
      </c>
      <c r="N215" s="283"/>
      <c r="O215" s="327"/>
      <c r="P215" s="328"/>
      <c r="Q215" s="329"/>
      <c r="R215" s="283"/>
      <c r="S215" s="327"/>
      <c r="T215" s="330"/>
    </row>
    <row r="216" spans="2:20">
      <c r="B216" s="472" t="s">
        <v>274</v>
      </c>
      <c r="C216" s="354" t="s">
        <v>223</v>
      </c>
      <c r="D216" s="473"/>
      <c r="E216" s="474"/>
      <c r="F216" s="474"/>
      <c r="G216" s="474"/>
      <c r="H216" s="475"/>
      <c r="I216" s="476">
        <f>SUM(I210,I213)</f>
        <v>0</v>
      </c>
      <c r="J216" s="477">
        <f>SUM(J210,J213)</f>
        <v>0</v>
      </c>
      <c r="K216" s="477">
        <f>SUM(K210,K213)</f>
        <v>0</v>
      </c>
      <c r="L216" s="477">
        <f>SUM(L210,L213)</f>
        <v>0</v>
      </c>
      <c r="M216" s="478">
        <f>SUM(M210,M213)</f>
        <v>0</v>
      </c>
      <c r="N216" s="283"/>
      <c r="O216" s="306">
        <f>SUM(D216:G216)</f>
        <v>0</v>
      </c>
      <c r="P216" s="307">
        <f>SUM(H216)</f>
        <v>0</v>
      </c>
      <c r="Q216" s="308">
        <f>SUM(D216:H216)</f>
        <v>0</v>
      </c>
      <c r="R216" s="283"/>
      <c r="S216" s="306">
        <f>SUM(I216:M216)</f>
        <v>0</v>
      </c>
      <c r="T216" s="309" t="str">
        <f>IF(Q216&lt;&gt;0,(S216-Q216)/Q216,"0")</f>
        <v>0</v>
      </c>
    </row>
    <row r="217" spans="2:20" ht="13.5" thickBot="1">
      <c r="B217" s="479" t="s">
        <v>355</v>
      </c>
      <c r="C217" s="480"/>
      <c r="D217" s="481">
        <f t="shared" ref="D217:M217" si="24">SUM(D192,D200,D208,D216)</f>
        <v>0</v>
      </c>
      <c r="E217" s="481">
        <f t="shared" si="24"/>
        <v>0</v>
      </c>
      <c r="F217" s="481">
        <f t="shared" si="24"/>
        <v>0</v>
      </c>
      <c r="G217" s="481">
        <f t="shared" si="24"/>
        <v>0</v>
      </c>
      <c r="H217" s="481">
        <f t="shared" si="24"/>
        <v>0</v>
      </c>
      <c r="I217" s="484">
        <f t="shared" si="24"/>
        <v>0</v>
      </c>
      <c r="J217" s="484">
        <f t="shared" si="24"/>
        <v>0</v>
      </c>
      <c r="K217" s="484">
        <f t="shared" si="24"/>
        <v>0</v>
      </c>
      <c r="L217" s="484">
        <f t="shared" si="24"/>
        <v>0</v>
      </c>
      <c r="M217" s="485">
        <f t="shared" si="24"/>
        <v>0</v>
      </c>
      <c r="N217" s="283"/>
      <c r="O217" s="338">
        <f>SUM(O192,O200,O208,O216)</f>
        <v>0</v>
      </c>
      <c r="P217" s="339">
        <f>SUM(P192,P200,P208,P216)</f>
        <v>0</v>
      </c>
      <c r="Q217" s="340">
        <f>SUM(Q192,Q200,Q208,Q216)</f>
        <v>0</v>
      </c>
      <c r="R217" s="283"/>
      <c r="S217" s="486">
        <f>SUM(S192,S200,S208,S216)</f>
        <v>0</v>
      </c>
      <c r="T217" s="341" t="str">
        <f>IF(Q217&lt;&gt;0,(S217-Q217)/Q217,"0")</f>
        <v>0</v>
      </c>
    </row>
    <row r="218" spans="2:20">
      <c r="C218" s="280"/>
      <c r="D218" s="280"/>
      <c r="E218" s="280"/>
      <c r="F218" s="280"/>
      <c r="G218" s="280"/>
      <c r="H218" s="280"/>
      <c r="I218" s="280"/>
      <c r="J218" s="280"/>
      <c r="K218" s="280"/>
      <c r="L218" s="280"/>
      <c r="M218" s="280"/>
      <c r="N218" s="280"/>
      <c r="O218" s="280"/>
      <c r="P218" s="280"/>
      <c r="Q218" s="280"/>
      <c r="R218" s="280"/>
      <c r="S218" s="280"/>
      <c r="T218" s="280"/>
    </row>
    <row r="219" spans="2:20">
      <c r="B219" s="342" t="s">
        <v>356</v>
      </c>
      <c r="C219" s="343"/>
      <c r="D219" s="344"/>
      <c r="E219" s="344"/>
      <c r="F219" s="344"/>
      <c r="G219" s="344"/>
      <c r="H219" s="344"/>
      <c r="I219" s="344"/>
      <c r="J219" s="344"/>
      <c r="K219" s="344"/>
      <c r="L219" s="344"/>
      <c r="M219" s="344"/>
      <c r="N219" s="283"/>
      <c r="O219" s="344"/>
      <c r="P219" s="344"/>
      <c r="Q219" s="344"/>
      <c r="R219" s="283"/>
      <c r="S219" s="344"/>
      <c r="T219" s="344"/>
    </row>
    <row r="220" spans="2:20" ht="13.5" thickBot="1">
      <c r="B220" s="342"/>
      <c r="C220" s="343"/>
      <c r="D220" s="344"/>
      <c r="E220" s="344"/>
      <c r="F220" s="344"/>
      <c r="G220" s="344"/>
      <c r="H220" s="344"/>
      <c r="I220" s="344"/>
      <c r="J220" s="344"/>
      <c r="K220" s="344"/>
      <c r="L220" s="344"/>
      <c r="M220" s="344"/>
      <c r="N220" s="283"/>
      <c r="O220" s="344"/>
      <c r="P220" s="344"/>
      <c r="Q220" s="344"/>
      <c r="R220" s="283"/>
      <c r="S220" s="344"/>
      <c r="T220" s="344"/>
    </row>
    <row r="221" spans="2:20">
      <c r="B221" s="1501" t="s">
        <v>263</v>
      </c>
      <c r="C221" s="1499" t="s">
        <v>210</v>
      </c>
      <c r="D221" s="286" t="s">
        <v>211</v>
      </c>
      <c r="E221" s="287"/>
      <c r="F221" s="287"/>
      <c r="G221" s="287"/>
      <c r="H221" s="288"/>
      <c r="I221" s="287" t="s">
        <v>212</v>
      </c>
      <c r="J221" s="289"/>
      <c r="K221" s="289"/>
      <c r="L221" s="289"/>
      <c r="M221" s="288"/>
      <c r="N221" s="283"/>
      <c r="O221" s="290" t="s">
        <v>211</v>
      </c>
      <c r="P221" s="291"/>
      <c r="Q221" s="292"/>
      <c r="R221" s="283"/>
      <c r="S221" s="290" t="s">
        <v>212</v>
      </c>
      <c r="T221" s="292"/>
    </row>
    <row r="222" spans="2:20">
      <c r="B222" s="1502"/>
      <c r="C222" s="1500"/>
      <c r="D222" s="294" t="s">
        <v>99</v>
      </c>
      <c r="E222" s="295" t="s">
        <v>100</v>
      </c>
      <c r="F222" s="295" t="s">
        <v>101</v>
      </c>
      <c r="G222" s="295" t="s">
        <v>102</v>
      </c>
      <c r="H222" s="296" t="s">
        <v>64</v>
      </c>
      <c r="I222" s="297" t="s">
        <v>213</v>
      </c>
      <c r="J222" s="295" t="s">
        <v>214</v>
      </c>
      <c r="K222" s="295" t="s">
        <v>215</v>
      </c>
      <c r="L222" s="295" t="s">
        <v>216</v>
      </c>
      <c r="M222" s="296" t="s">
        <v>217</v>
      </c>
      <c r="N222" s="283"/>
      <c r="O222" s="298" t="s">
        <v>218</v>
      </c>
      <c r="P222" s="299" t="s">
        <v>219</v>
      </c>
      <c r="Q222" s="300" t="s">
        <v>220</v>
      </c>
      <c r="R222" s="283"/>
      <c r="S222" s="298" t="s">
        <v>219</v>
      </c>
      <c r="T222" s="300" t="s">
        <v>221</v>
      </c>
    </row>
    <row r="223" spans="2:20">
      <c r="B223" s="452" t="s">
        <v>264</v>
      </c>
      <c r="C223" s="453"/>
      <c r="D223" s="373"/>
      <c r="E223" s="374"/>
      <c r="F223" s="374"/>
      <c r="G223" s="374"/>
      <c r="H223" s="375"/>
      <c r="I223" s="377"/>
      <c r="J223" s="377"/>
      <c r="K223" s="377"/>
      <c r="L223" s="377"/>
      <c r="M223" s="378"/>
      <c r="N223" s="283"/>
      <c r="O223" s="376"/>
      <c r="P223" s="377"/>
      <c r="Q223" s="378"/>
      <c r="R223" s="283"/>
      <c r="S223" s="376"/>
      <c r="T223" s="378"/>
    </row>
    <row r="224" spans="2:20">
      <c r="B224" s="345" t="s">
        <v>265</v>
      </c>
      <c r="C224" s="346"/>
      <c r="D224" s="347"/>
      <c r="E224" s="348"/>
      <c r="F224" s="348"/>
      <c r="G224" s="348"/>
      <c r="H224" s="349"/>
      <c r="I224" s="348"/>
      <c r="J224" s="348"/>
      <c r="K224" s="348"/>
      <c r="L224" s="348"/>
      <c r="M224" s="349"/>
      <c r="N224" s="283"/>
      <c r="O224" s="350"/>
      <c r="P224" s="351"/>
      <c r="Q224" s="352"/>
      <c r="R224" s="283"/>
      <c r="S224" s="347"/>
      <c r="T224" s="349"/>
    </row>
    <row r="225" spans="2:20">
      <c r="B225" s="353" t="s">
        <v>306</v>
      </c>
      <c r="C225" s="354" t="s">
        <v>223</v>
      </c>
      <c r="D225" s="454"/>
      <c r="E225" s="455"/>
      <c r="F225" s="455"/>
      <c r="G225" s="455"/>
      <c r="H225" s="456"/>
      <c r="I225" s="331"/>
      <c r="J225" s="333"/>
      <c r="K225" s="333"/>
      <c r="L225" s="333"/>
      <c r="M225" s="332"/>
      <c r="N225" s="283"/>
      <c r="O225" s="327"/>
      <c r="P225" s="328"/>
      <c r="Q225" s="329"/>
      <c r="R225" s="283"/>
      <c r="S225" s="327"/>
      <c r="T225" s="330"/>
    </row>
    <row r="226" spans="2:20">
      <c r="B226" s="353" t="s">
        <v>307</v>
      </c>
      <c r="C226" s="354" t="s">
        <v>223</v>
      </c>
      <c r="D226" s="454"/>
      <c r="E226" s="455"/>
      <c r="F226" s="455"/>
      <c r="G226" s="455"/>
      <c r="H226" s="456"/>
      <c r="I226" s="331"/>
      <c r="J226" s="333"/>
      <c r="K226" s="333"/>
      <c r="L226" s="333"/>
      <c r="M226" s="332"/>
      <c r="N226" s="283"/>
      <c r="O226" s="327"/>
      <c r="P226" s="328"/>
      <c r="Q226" s="329"/>
      <c r="R226" s="283"/>
      <c r="S226" s="327"/>
      <c r="T226" s="330"/>
    </row>
    <row r="227" spans="2:20">
      <c r="B227" s="361" t="s">
        <v>268</v>
      </c>
      <c r="C227" s="354" t="s">
        <v>223</v>
      </c>
      <c r="D227" s="316"/>
      <c r="E227" s="331"/>
      <c r="F227" s="331"/>
      <c r="G227" s="331"/>
      <c r="H227" s="332"/>
      <c r="I227" s="362">
        <f>SUM(I225,I226)</f>
        <v>0</v>
      </c>
      <c r="J227" s="307">
        <f>SUM(J225,J226)</f>
        <v>0</v>
      </c>
      <c r="K227" s="307">
        <f>SUM(K225,K226)</f>
        <v>0</v>
      </c>
      <c r="L227" s="307">
        <f>SUM(L225,L226)</f>
        <v>0</v>
      </c>
      <c r="M227" s="308">
        <f>SUM(M225,M226)</f>
        <v>0</v>
      </c>
      <c r="N227" s="283"/>
      <c r="O227" s="306">
        <f>SUM(D227:G227)</f>
        <v>0</v>
      </c>
      <c r="P227" s="307">
        <f>SUM(H227)</f>
        <v>0</v>
      </c>
      <c r="Q227" s="308">
        <f>SUM(D227:H227)</f>
        <v>0</v>
      </c>
      <c r="R227" s="283"/>
      <c r="S227" s="306">
        <f>SUM(I227:M227)</f>
        <v>0</v>
      </c>
      <c r="T227" s="309" t="str">
        <f>IF(Q227&lt;&gt;0,(S227-Q227)/Q227,"0")</f>
        <v>0</v>
      </c>
    </row>
    <row r="228" spans="2:20">
      <c r="B228" s="345" t="s">
        <v>338</v>
      </c>
      <c r="C228" s="363"/>
      <c r="D228" s="364"/>
      <c r="E228" s="365"/>
      <c r="F228" s="365"/>
      <c r="G228" s="365"/>
      <c r="H228" s="366"/>
      <c r="I228" s="365"/>
      <c r="J228" s="365"/>
      <c r="K228" s="365"/>
      <c r="L228" s="365"/>
      <c r="M228" s="366"/>
      <c r="N228" s="283"/>
      <c r="O228" s="367"/>
      <c r="P228" s="365"/>
      <c r="Q228" s="366"/>
      <c r="R228" s="283"/>
      <c r="S228" s="364"/>
      <c r="T228" s="366"/>
    </row>
    <row r="229" spans="2:20">
      <c r="B229" s="353" t="s">
        <v>308</v>
      </c>
      <c r="C229" s="354" t="s">
        <v>223</v>
      </c>
      <c r="D229" s="454"/>
      <c r="E229" s="455"/>
      <c r="F229" s="455"/>
      <c r="G229" s="455"/>
      <c r="H229" s="456"/>
      <c r="I229" s="331"/>
      <c r="J229" s="333"/>
      <c r="K229" s="333"/>
      <c r="L229" s="333"/>
      <c r="M229" s="332"/>
      <c r="N229" s="283"/>
      <c r="O229" s="327"/>
      <c r="P229" s="328"/>
      <c r="Q229" s="329"/>
      <c r="R229" s="283"/>
      <c r="S229" s="327"/>
      <c r="T229" s="330"/>
    </row>
    <row r="230" spans="2:20">
      <c r="B230" s="353" t="s">
        <v>309</v>
      </c>
      <c r="C230" s="354" t="s">
        <v>223</v>
      </c>
      <c r="D230" s="454"/>
      <c r="E230" s="455"/>
      <c r="F230" s="455"/>
      <c r="G230" s="455"/>
      <c r="H230" s="456"/>
      <c r="I230" s="331"/>
      <c r="J230" s="333"/>
      <c r="K230" s="333"/>
      <c r="L230" s="333"/>
      <c r="M230" s="332"/>
      <c r="N230" s="283"/>
      <c r="O230" s="327"/>
      <c r="P230" s="328"/>
      <c r="Q230" s="329"/>
      <c r="R230" s="283"/>
      <c r="S230" s="327"/>
      <c r="T230" s="330"/>
    </row>
    <row r="231" spans="2:20">
      <c r="B231" s="361" t="s">
        <v>270</v>
      </c>
      <c r="C231" s="354" t="s">
        <v>223</v>
      </c>
      <c r="D231" s="316"/>
      <c r="E231" s="331"/>
      <c r="F231" s="331"/>
      <c r="G231" s="331"/>
      <c r="H231" s="332"/>
      <c r="I231" s="362">
        <f>SUM(I229,I230)</f>
        <v>0</v>
      </c>
      <c r="J231" s="307">
        <f>SUM(J229,J230)</f>
        <v>0</v>
      </c>
      <c r="K231" s="307">
        <f>SUM(K229,K230)</f>
        <v>0</v>
      </c>
      <c r="L231" s="307">
        <f>SUM(L229,L230)</f>
        <v>0</v>
      </c>
      <c r="M231" s="308">
        <f>SUM(M229,M230)</f>
        <v>0</v>
      </c>
      <c r="N231" s="283"/>
      <c r="O231" s="306">
        <f>SUM(D231:G231)</f>
        <v>0</v>
      </c>
      <c r="P231" s="307">
        <f>SUM(H231)</f>
        <v>0</v>
      </c>
      <c r="Q231" s="308">
        <f>SUM(D231:H231)</f>
        <v>0</v>
      </c>
      <c r="R231" s="283"/>
      <c r="S231" s="306">
        <f>SUM(I231:M231)</f>
        <v>0</v>
      </c>
      <c r="T231" s="309" t="str">
        <f>IF(Q231&lt;&gt;0,(S231-Q231)/Q231,"0")</f>
        <v>0</v>
      </c>
    </row>
    <row r="232" spans="2:20">
      <c r="B232" s="345" t="s">
        <v>343</v>
      </c>
      <c r="C232" s="363"/>
      <c r="D232" s="364"/>
      <c r="E232" s="365"/>
      <c r="F232" s="365"/>
      <c r="G232" s="365"/>
      <c r="H232" s="366"/>
      <c r="I232" s="365"/>
      <c r="J232" s="365"/>
      <c r="K232" s="365"/>
      <c r="L232" s="365"/>
      <c r="M232" s="366"/>
      <c r="N232" s="283"/>
      <c r="O232" s="364"/>
      <c r="P232" s="365"/>
      <c r="Q232" s="366"/>
      <c r="R232" s="283"/>
      <c r="S232" s="364"/>
      <c r="T232" s="366"/>
    </row>
    <row r="233" spans="2:20">
      <c r="B233" s="353" t="s">
        <v>310</v>
      </c>
      <c r="C233" s="354" t="s">
        <v>223</v>
      </c>
      <c r="D233" s="454"/>
      <c r="E233" s="455"/>
      <c r="F233" s="455"/>
      <c r="G233" s="455"/>
      <c r="H233" s="456"/>
      <c r="I233" s="331"/>
      <c r="J233" s="333"/>
      <c r="K233" s="333"/>
      <c r="L233" s="333"/>
      <c r="M233" s="332"/>
      <c r="N233" s="283"/>
      <c r="O233" s="327"/>
      <c r="P233" s="328"/>
      <c r="Q233" s="329"/>
      <c r="R233" s="283"/>
      <c r="S233" s="327"/>
      <c r="T233" s="330"/>
    </row>
    <row r="234" spans="2:20">
      <c r="B234" s="353" t="s">
        <v>311</v>
      </c>
      <c r="C234" s="354" t="s">
        <v>223</v>
      </c>
      <c r="D234" s="454"/>
      <c r="E234" s="455"/>
      <c r="F234" s="455"/>
      <c r="G234" s="455"/>
      <c r="H234" s="456"/>
      <c r="I234" s="331"/>
      <c r="J234" s="333"/>
      <c r="K234" s="333"/>
      <c r="L234" s="333"/>
      <c r="M234" s="332"/>
      <c r="N234" s="283"/>
      <c r="O234" s="327"/>
      <c r="P234" s="328"/>
      <c r="Q234" s="329"/>
      <c r="R234" s="283"/>
      <c r="S234" s="327"/>
      <c r="T234" s="330"/>
    </row>
    <row r="235" spans="2:20">
      <c r="B235" s="361" t="s">
        <v>272</v>
      </c>
      <c r="C235" s="354" t="s">
        <v>223</v>
      </c>
      <c r="D235" s="316"/>
      <c r="E235" s="331"/>
      <c r="F235" s="331"/>
      <c r="G235" s="331"/>
      <c r="H235" s="332"/>
      <c r="I235" s="362">
        <f>SUM(I233,I234)</f>
        <v>0</v>
      </c>
      <c r="J235" s="307">
        <f>SUM(J233,J234)</f>
        <v>0</v>
      </c>
      <c r="K235" s="307">
        <f>SUM(K233,K234)</f>
        <v>0</v>
      </c>
      <c r="L235" s="307">
        <f>SUM(L233,L234)</f>
        <v>0</v>
      </c>
      <c r="M235" s="308">
        <f>SUM(M233,M234)</f>
        <v>0</v>
      </c>
      <c r="N235" s="283"/>
      <c r="O235" s="306">
        <f>SUM(D235:G235)</f>
        <v>0</v>
      </c>
      <c r="P235" s="307">
        <f>SUM(H235)</f>
        <v>0</v>
      </c>
      <c r="Q235" s="308">
        <f>SUM(D235:H235)</f>
        <v>0</v>
      </c>
      <c r="R235" s="283"/>
      <c r="S235" s="306">
        <f>SUM(I235:M235)</f>
        <v>0</v>
      </c>
      <c r="T235" s="309" t="str">
        <f>IF(Q235&lt;&gt;0,(S235-Q235)/Q235,"0")</f>
        <v>0</v>
      </c>
    </row>
    <row r="236" spans="2:20">
      <c r="B236" s="345" t="s">
        <v>348</v>
      </c>
      <c r="C236" s="363"/>
      <c r="D236" s="364"/>
      <c r="E236" s="365"/>
      <c r="F236" s="365"/>
      <c r="G236" s="365"/>
      <c r="H236" s="366"/>
      <c r="I236" s="365"/>
      <c r="J236" s="365"/>
      <c r="K236" s="365"/>
      <c r="L236" s="365"/>
      <c r="M236" s="366"/>
      <c r="N236" s="283"/>
      <c r="O236" s="364"/>
      <c r="P236" s="365"/>
      <c r="Q236" s="366"/>
      <c r="R236" s="283"/>
      <c r="S236" s="364"/>
      <c r="T236" s="366"/>
    </row>
    <row r="237" spans="2:20">
      <c r="B237" s="353" t="s">
        <v>312</v>
      </c>
      <c r="C237" s="354" t="s">
        <v>223</v>
      </c>
      <c r="D237" s="454"/>
      <c r="E237" s="455"/>
      <c r="F237" s="455"/>
      <c r="G237" s="455"/>
      <c r="H237" s="456"/>
      <c r="I237" s="331"/>
      <c r="J237" s="333"/>
      <c r="K237" s="333"/>
      <c r="L237" s="333"/>
      <c r="M237" s="332"/>
      <c r="N237" s="283"/>
      <c r="O237" s="327"/>
      <c r="P237" s="328"/>
      <c r="Q237" s="329"/>
      <c r="R237" s="283"/>
      <c r="S237" s="327"/>
      <c r="T237" s="330"/>
    </row>
    <row r="238" spans="2:20">
      <c r="B238" s="353" t="s">
        <v>313</v>
      </c>
      <c r="C238" s="354" t="s">
        <v>223</v>
      </c>
      <c r="D238" s="454"/>
      <c r="E238" s="455"/>
      <c r="F238" s="455"/>
      <c r="G238" s="455"/>
      <c r="H238" s="456"/>
      <c r="I238" s="331"/>
      <c r="J238" s="333"/>
      <c r="K238" s="333"/>
      <c r="L238" s="333"/>
      <c r="M238" s="332"/>
      <c r="N238" s="283"/>
      <c r="O238" s="327"/>
      <c r="P238" s="328"/>
      <c r="Q238" s="329"/>
      <c r="R238" s="283"/>
      <c r="S238" s="327"/>
      <c r="T238" s="330"/>
    </row>
    <row r="239" spans="2:20">
      <c r="B239" s="472" t="s">
        <v>274</v>
      </c>
      <c r="C239" s="354" t="s">
        <v>223</v>
      </c>
      <c r="D239" s="473"/>
      <c r="E239" s="474"/>
      <c r="F239" s="474"/>
      <c r="G239" s="474"/>
      <c r="H239" s="475"/>
      <c r="I239" s="476">
        <f>SUM(I237,I238)</f>
        <v>0</v>
      </c>
      <c r="J239" s="477">
        <f>SUM(J237,J238)</f>
        <v>0</v>
      </c>
      <c r="K239" s="477">
        <f>SUM(K237,K238)</f>
        <v>0</v>
      </c>
      <c r="L239" s="477">
        <f>SUM(L237,L238)</f>
        <v>0</v>
      </c>
      <c r="M239" s="478">
        <f>SUM(M237,M238)</f>
        <v>0</v>
      </c>
      <c r="N239" s="283"/>
      <c r="O239" s="306">
        <f>SUM(D239:G239)</f>
        <v>0</v>
      </c>
      <c r="P239" s="307">
        <f>SUM(H239)</f>
        <v>0</v>
      </c>
      <c r="Q239" s="308">
        <f>SUM(D239:H239)</f>
        <v>0</v>
      </c>
      <c r="R239" s="283"/>
      <c r="S239" s="306">
        <f>SUM(I239:M239)</f>
        <v>0</v>
      </c>
      <c r="T239" s="309" t="str">
        <f>IF(Q239&lt;&gt;0,(S239-Q239)/Q239,"0")</f>
        <v>0</v>
      </c>
    </row>
    <row r="240" spans="2:20" ht="13.5" thickBot="1">
      <c r="B240" s="479" t="s">
        <v>357</v>
      </c>
      <c r="C240" s="480"/>
      <c r="D240" s="481">
        <f t="shared" ref="D240:M240" si="25">SUM(D227,D231,D235,D239)</f>
        <v>0</v>
      </c>
      <c r="E240" s="481">
        <f t="shared" si="25"/>
        <v>0</v>
      </c>
      <c r="F240" s="481">
        <f t="shared" si="25"/>
        <v>0</v>
      </c>
      <c r="G240" s="481">
        <f t="shared" si="25"/>
        <v>0</v>
      </c>
      <c r="H240" s="481">
        <f t="shared" si="25"/>
        <v>0</v>
      </c>
      <c r="I240" s="484">
        <f t="shared" si="25"/>
        <v>0</v>
      </c>
      <c r="J240" s="484">
        <f t="shared" si="25"/>
        <v>0</v>
      </c>
      <c r="K240" s="484">
        <f t="shared" si="25"/>
        <v>0</v>
      </c>
      <c r="L240" s="484">
        <f t="shared" si="25"/>
        <v>0</v>
      </c>
      <c r="M240" s="485">
        <f t="shared" si="25"/>
        <v>0</v>
      </c>
      <c r="N240" s="283"/>
      <c r="O240" s="338">
        <f>SUM(O227,O231,O235,O239)</f>
        <v>0</v>
      </c>
      <c r="P240" s="339">
        <f>SUM(P227,P231,P235,P239)</f>
        <v>0</v>
      </c>
      <c r="Q240" s="340">
        <f>SUM(Q227,Q231,Q235,Q239)</f>
        <v>0</v>
      </c>
      <c r="R240" s="283"/>
      <c r="S240" s="338">
        <f>SUM(S227,S231,S235,S239)</f>
        <v>0</v>
      </c>
      <c r="T240" s="341" t="str">
        <f>IF(Q240&lt;&gt;0,(S240-Q240)/Q240,"0")</f>
        <v>0</v>
      </c>
    </row>
    <row r="241" spans="2:20">
      <c r="N241" s="283"/>
      <c r="R241" s="283"/>
    </row>
    <row r="243" spans="2:20">
      <c r="B243" s="342" t="s">
        <v>358</v>
      </c>
      <c r="C243" s="343"/>
      <c r="D243" s="344"/>
      <c r="E243" s="344"/>
      <c r="F243" s="344"/>
      <c r="G243" s="344"/>
      <c r="H243" s="344"/>
      <c r="I243" s="344"/>
      <c r="J243" s="344"/>
      <c r="K243" s="344"/>
      <c r="L243" s="344"/>
      <c r="M243" s="344"/>
      <c r="N243" s="283"/>
      <c r="O243" s="344"/>
      <c r="P243" s="344"/>
      <c r="Q243" s="344"/>
      <c r="R243" s="283"/>
      <c r="S243" s="344"/>
      <c r="T243" s="344"/>
    </row>
    <row r="244" spans="2:20" ht="13.5" thickBot="1">
      <c r="B244" s="342"/>
      <c r="C244" s="343"/>
      <c r="D244" s="344"/>
      <c r="E244" s="344"/>
      <c r="F244" s="344"/>
      <c r="G244" s="344"/>
      <c r="H244" s="344"/>
      <c r="I244" s="344"/>
      <c r="J244" s="344"/>
      <c r="K244" s="344"/>
      <c r="L244" s="344"/>
      <c r="M244" s="344"/>
      <c r="N244" s="283"/>
      <c r="O244" s="344"/>
      <c r="P244" s="344"/>
      <c r="Q244" s="344"/>
      <c r="R244" s="283"/>
      <c r="S244" s="344"/>
      <c r="T244" s="344"/>
    </row>
    <row r="245" spans="2:20">
      <c r="B245" s="1501" t="s">
        <v>279</v>
      </c>
      <c r="C245" s="1499" t="s">
        <v>210</v>
      </c>
      <c r="D245" s="286" t="s">
        <v>211</v>
      </c>
      <c r="E245" s="287"/>
      <c r="F245" s="287"/>
      <c r="G245" s="287"/>
      <c r="H245" s="288"/>
      <c r="I245" s="287" t="s">
        <v>212</v>
      </c>
      <c r="J245" s="289"/>
      <c r="K245" s="289"/>
      <c r="L245" s="289"/>
      <c r="M245" s="288"/>
      <c r="N245" s="283"/>
      <c r="O245" s="290" t="s">
        <v>211</v>
      </c>
      <c r="P245" s="291"/>
      <c r="Q245" s="292"/>
      <c r="R245" s="283"/>
      <c r="S245" s="290" t="s">
        <v>212</v>
      </c>
      <c r="T245" s="292"/>
    </row>
    <row r="246" spans="2:20">
      <c r="B246" s="1502"/>
      <c r="C246" s="1500"/>
      <c r="D246" s="294" t="s">
        <v>99</v>
      </c>
      <c r="E246" s="295" t="s">
        <v>100</v>
      </c>
      <c r="F246" s="295" t="s">
        <v>101</v>
      </c>
      <c r="G246" s="295" t="s">
        <v>102</v>
      </c>
      <c r="H246" s="296" t="s">
        <v>64</v>
      </c>
      <c r="I246" s="297" t="s">
        <v>213</v>
      </c>
      <c r="J246" s="295" t="s">
        <v>214</v>
      </c>
      <c r="K246" s="295" t="s">
        <v>215</v>
      </c>
      <c r="L246" s="295" t="s">
        <v>216</v>
      </c>
      <c r="M246" s="296" t="s">
        <v>217</v>
      </c>
      <c r="N246" s="283"/>
      <c r="O246" s="298" t="s">
        <v>218</v>
      </c>
      <c r="P246" s="299" t="s">
        <v>219</v>
      </c>
      <c r="Q246" s="300" t="s">
        <v>220</v>
      </c>
      <c r="R246" s="283"/>
      <c r="S246" s="298" t="s">
        <v>219</v>
      </c>
      <c r="T246" s="300" t="s">
        <v>221</v>
      </c>
    </row>
    <row r="247" spans="2:20">
      <c r="B247" s="345" t="s">
        <v>280</v>
      </c>
      <c r="C247" s="346"/>
      <c r="D247" s="347"/>
      <c r="E247" s="348"/>
      <c r="F247" s="348"/>
      <c r="G247" s="348"/>
      <c r="H247" s="349"/>
      <c r="I247" s="348"/>
      <c r="J247" s="348"/>
      <c r="K247" s="348"/>
      <c r="L247" s="348"/>
      <c r="M247" s="349"/>
      <c r="N247" s="283"/>
      <c r="O247" s="487"/>
      <c r="P247" s="488"/>
      <c r="Q247" s="489"/>
      <c r="R247" s="283"/>
      <c r="S247" s="490"/>
      <c r="T247" s="491"/>
    </row>
    <row r="248" spans="2:20">
      <c r="B248" s="353" t="s">
        <v>306</v>
      </c>
      <c r="C248" s="354" t="s">
        <v>223</v>
      </c>
      <c r="D248" s="454"/>
      <c r="E248" s="455"/>
      <c r="F248" s="455"/>
      <c r="G248" s="455"/>
      <c r="H248" s="456"/>
      <c r="I248" s="331"/>
      <c r="J248" s="333"/>
      <c r="K248" s="333"/>
      <c r="L248" s="333"/>
      <c r="M248" s="332"/>
      <c r="N248" s="283"/>
      <c r="O248" s="327"/>
      <c r="P248" s="328"/>
      <c r="Q248" s="329"/>
      <c r="R248" s="283"/>
      <c r="S248" s="327"/>
      <c r="T248" s="330"/>
    </row>
    <row r="249" spans="2:20">
      <c r="B249" s="353" t="s">
        <v>307</v>
      </c>
      <c r="C249" s="354"/>
      <c r="D249" s="454"/>
      <c r="E249" s="455"/>
      <c r="F249" s="455"/>
      <c r="G249" s="455"/>
      <c r="H249" s="456"/>
      <c r="I249" s="331"/>
      <c r="J249" s="333"/>
      <c r="K249" s="333"/>
      <c r="L249" s="333"/>
      <c r="M249" s="332"/>
      <c r="N249" s="283"/>
      <c r="O249" s="327"/>
      <c r="P249" s="328"/>
      <c r="Q249" s="329"/>
      <c r="R249" s="283"/>
      <c r="S249" s="327"/>
      <c r="T249" s="330"/>
    </row>
    <row r="250" spans="2:20">
      <c r="B250" s="361" t="s">
        <v>268</v>
      </c>
      <c r="C250" s="354" t="s">
        <v>223</v>
      </c>
      <c r="D250" s="316"/>
      <c r="E250" s="331"/>
      <c r="F250" s="331"/>
      <c r="G250" s="331"/>
      <c r="H250" s="332"/>
      <c r="I250" s="362">
        <f>SUM(I248:I249)</f>
        <v>0</v>
      </c>
      <c r="J250" s="307">
        <f>SUM(J248:J249)</f>
        <v>0</v>
      </c>
      <c r="K250" s="307">
        <f>SUM(K248:K249)</f>
        <v>0</v>
      </c>
      <c r="L250" s="307">
        <f>SUM(L248:L249)</f>
        <v>0</v>
      </c>
      <c r="M250" s="308">
        <f>SUM(M248:M249)</f>
        <v>0</v>
      </c>
      <c r="N250" s="283"/>
      <c r="O250" s="306">
        <f>SUM(D250:G250)</f>
        <v>0</v>
      </c>
      <c r="P250" s="307">
        <f>SUM(H250)</f>
        <v>0</v>
      </c>
      <c r="Q250" s="308">
        <f>SUM(D250:H250)</f>
        <v>0</v>
      </c>
      <c r="R250" s="283"/>
      <c r="S250" s="306">
        <f>SUM(I250:M250)</f>
        <v>0</v>
      </c>
      <c r="T250" s="309" t="str">
        <f>IF(Q250&lt;&gt;0,(S250-Q250)/Q250,"0")</f>
        <v>0</v>
      </c>
    </row>
    <row r="251" spans="2:20">
      <c r="B251" s="345" t="s">
        <v>359</v>
      </c>
      <c r="C251" s="363"/>
      <c r="D251" s="364"/>
      <c r="E251" s="365"/>
      <c r="F251" s="365"/>
      <c r="G251" s="365"/>
      <c r="H251" s="366"/>
      <c r="I251" s="365"/>
      <c r="J251" s="365"/>
      <c r="K251" s="365"/>
      <c r="L251" s="365"/>
      <c r="M251" s="366"/>
      <c r="N251" s="283"/>
      <c r="O251" s="490"/>
      <c r="P251" s="488"/>
      <c r="Q251" s="489"/>
      <c r="R251" s="283"/>
      <c r="S251" s="487"/>
      <c r="T251" s="489"/>
    </row>
    <row r="252" spans="2:20">
      <c r="B252" s="353" t="s">
        <v>308</v>
      </c>
      <c r="C252" s="354" t="s">
        <v>223</v>
      </c>
      <c r="D252" s="454"/>
      <c r="E252" s="455"/>
      <c r="F252" s="455"/>
      <c r="G252" s="455"/>
      <c r="H252" s="456"/>
      <c r="I252" s="331"/>
      <c r="J252" s="333"/>
      <c r="K252" s="333"/>
      <c r="L252" s="333"/>
      <c r="M252" s="332"/>
      <c r="N252" s="283"/>
      <c r="O252" s="327"/>
      <c r="P252" s="328"/>
      <c r="Q252" s="329"/>
      <c r="R252" s="283"/>
      <c r="S252" s="327"/>
      <c r="T252" s="330"/>
    </row>
    <row r="253" spans="2:20">
      <c r="B253" s="353" t="s">
        <v>309</v>
      </c>
      <c r="C253" s="354" t="s">
        <v>223</v>
      </c>
      <c r="D253" s="454"/>
      <c r="E253" s="455"/>
      <c r="F253" s="455"/>
      <c r="G253" s="455"/>
      <c r="H253" s="456"/>
      <c r="I253" s="331"/>
      <c r="J253" s="333"/>
      <c r="K253" s="333"/>
      <c r="L253" s="333"/>
      <c r="M253" s="332"/>
      <c r="N253" s="283"/>
      <c r="O253" s="327"/>
      <c r="P253" s="328"/>
      <c r="Q253" s="329"/>
      <c r="R253" s="283"/>
      <c r="S253" s="327"/>
      <c r="T253" s="330"/>
    </row>
    <row r="254" spans="2:20">
      <c r="B254" s="361" t="s">
        <v>270</v>
      </c>
      <c r="C254" s="354" t="s">
        <v>223</v>
      </c>
      <c r="D254" s="316"/>
      <c r="E254" s="331"/>
      <c r="F254" s="331"/>
      <c r="G254" s="331"/>
      <c r="H254" s="332"/>
      <c r="I254" s="362">
        <f>SUM(I252:I253)</f>
        <v>0</v>
      </c>
      <c r="J254" s="307">
        <f>SUM(J252:J253)</f>
        <v>0</v>
      </c>
      <c r="K254" s="307">
        <f>SUM(K252:K253)</f>
        <v>0</v>
      </c>
      <c r="L254" s="307">
        <f>SUM(L252:L253)</f>
        <v>0</v>
      </c>
      <c r="M254" s="308">
        <f>SUM(M252:M253)</f>
        <v>0</v>
      </c>
      <c r="N254" s="283"/>
      <c r="O254" s="306">
        <f>SUM(D254:G254)</f>
        <v>0</v>
      </c>
      <c r="P254" s="307">
        <f>SUM(H254)</f>
        <v>0</v>
      </c>
      <c r="Q254" s="308">
        <f>SUM(D254:H254)</f>
        <v>0</v>
      </c>
      <c r="R254" s="283"/>
      <c r="S254" s="306">
        <f>SUM(I254:M254)</f>
        <v>0</v>
      </c>
      <c r="T254" s="309" t="str">
        <f>IF(Q254&lt;&gt;0,(S254-Q254)/Q254,"0")</f>
        <v>0</v>
      </c>
    </row>
    <row r="255" spans="2:20">
      <c r="B255" s="345" t="s">
        <v>360</v>
      </c>
      <c r="C255" s="363"/>
      <c r="D255" s="364"/>
      <c r="E255" s="365"/>
      <c r="F255" s="365"/>
      <c r="G255" s="365"/>
      <c r="H255" s="366"/>
      <c r="I255" s="365"/>
      <c r="J255" s="365"/>
      <c r="K255" s="365"/>
      <c r="L255" s="365"/>
      <c r="M255" s="366"/>
      <c r="N255" s="283"/>
      <c r="O255" s="487"/>
      <c r="P255" s="488"/>
      <c r="Q255" s="489"/>
      <c r="R255" s="283"/>
      <c r="S255" s="487"/>
      <c r="T255" s="489"/>
    </row>
    <row r="256" spans="2:20">
      <c r="B256" s="353" t="s">
        <v>310</v>
      </c>
      <c r="C256" s="354" t="s">
        <v>223</v>
      </c>
      <c r="D256" s="454"/>
      <c r="E256" s="455"/>
      <c r="F256" s="455"/>
      <c r="G256" s="455"/>
      <c r="H256" s="456"/>
      <c r="I256" s="331"/>
      <c r="J256" s="333"/>
      <c r="K256" s="333"/>
      <c r="L256" s="333"/>
      <c r="M256" s="332"/>
      <c r="N256" s="283"/>
      <c r="O256" s="327"/>
      <c r="P256" s="328"/>
      <c r="Q256" s="329"/>
      <c r="R256" s="283"/>
      <c r="S256" s="327"/>
      <c r="T256" s="330"/>
    </row>
    <row r="257" spans="1:20">
      <c r="B257" s="353" t="s">
        <v>311</v>
      </c>
      <c r="C257" s="354" t="s">
        <v>223</v>
      </c>
      <c r="D257" s="454"/>
      <c r="E257" s="455"/>
      <c r="F257" s="455"/>
      <c r="G257" s="455"/>
      <c r="H257" s="456"/>
      <c r="I257" s="331"/>
      <c r="J257" s="333"/>
      <c r="K257" s="333"/>
      <c r="L257" s="333"/>
      <c r="M257" s="332"/>
      <c r="N257" s="283"/>
      <c r="O257" s="327"/>
      <c r="P257" s="328"/>
      <c r="Q257" s="329"/>
      <c r="R257" s="283"/>
      <c r="S257" s="327"/>
      <c r="T257" s="330"/>
    </row>
    <row r="258" spans="1:20">
      <c r="B258" s="361" t="s">
        <v>272</v>
      </c>
      <c r="C258" s="354" t="s">
        <v>223</v>
      </c>
      <c r="D258" s="316"/>
      <c r="E258" s="331"/>
      <c r="F258" s="331"/>
      <c r="G258" s="331"/>
      <c r="H258" s="332"/>
      <c r="I258" s="362">
        <f>SUM(I256:I257)</f>
        <v>0</v>
      </c>
      <c r="J258" s="307">
        <f>SUM(J256:J257)</f>
        <v>0</v>
      </c>
      <c r="K258" s="307">
        <f>SUM(K256:K257)</f>
        <v>0</v>
      </c>
      <c r="L258" s="307">
        <f>SUM(L256:L257)</f>
        <v>0</v>
      </c>
      <c r="M258" s="308">
        <f>SUM(M256:M257)</f>
        <v>0</v>
      </c>
      <c r="N258" s="283"/>
      <c r="O258" s="306">
        <f>SUM(D258:G258)</f>
        <v>0</v>
      </c>
      <c r="P258" s="307">
        <f>SUM(H258)</f>
        <v>0</v>
      </c>
      <c r="Q258" s="308">
        <f>SUM(D258:H258)</f>
        <v>0</v>
      </c>
      <c r="R258" s="283"/>
      <c r="S258" s="306">
        <f>SUM(I258:M258)</f>
        <v>0</v>
      </c>
      <c r="T258" s="309" t="str">
        <f>IF(Q258&lt;&gt;0,(S258-Q258)/Q258,"0")</f>
        <v>0</v>
      </c>
    </row>
    <row r="259" spans="1:20">
      <c r="B259" s="345" t="s">
        <v>361</v>
      </c>
      <c r="C259" s="363"/>
      <c r="D259" s="364"/>
      <c r="E259" s="365"/>
      <c r="F259" s="365"/>
      <c r="G259" s="365"/>
      <c r="H259" s="366"/>
      <c r="I259" s="365"/>
      <c r="J259" s="365"/>
      <c r="K259" s="365"/>
      <c r="L259" s="365"/>
      <c r="M259" s="366"/>
      <c r="N259" s="283"/>
      <c r="O259" s="487"/>
      <c r="P259" s="488"/>
      <c r="Q259" s="489"/>
      <c r="R259" s="283"/>
      <c r="S259" s="487"/>
      <c r="T259" s="489"/>
    </row>
    <row r="260" spans="1:20">
      <c r="B260" s="353" t="s">
        <v>312</v>
      </c>
      <c r="C260" s="354" t="s">
        <v>223</v>
      </c>
      <c r="D260" s="454"/>
      <c r="E260" s="455"/>
      <c r="F260" s="455"/>
      <c r="G260" s="455"/>
      <c r="H260" s="456"/>
      <c r="I260" s="331"/>
      <c r="J260" s="333"/>
      <c r="K260" s="333"/>
      <c r="L260" s="333"/>
      <c r="M260" s="332"/>
      <c r="N260" s="283"/>
      <c r="O260" s="327"/>
      <c r="P260" s="328"/>
      <c r="Q260" s="329"/>
      <c r="R260" s="283"/>
      <c r="S260" s="327"/>
      <c r="T260" s="330"/>
    </row>
    <row r="261" spans="1:20">
      <c r="B261" s="353" t="s">
        <v>313</v>
      </c>
      <c r="C261" s="354" t="s">
        <v>223</v>
      </c>
      <c r="D261" s="454"/>
      <c r="E261" s="455"/>
      <c r="F261" s="455"/>
      <c r="G261" s="455"/>
      <c r="H261" s="456"/>
      <c r="I261" s="331"/>
      <c r="J261" s="333"/>
      <c r="K261" s="333"/>
      <c r="L261" s="333"/>
      <c r="M261" s="332"/>
      <c r="N261" s="283"/>
      <c r="O261" s="327"/>
      <c r="P261" s="328"/>
      <c r="Q261" s="329"/>
      <c r="R261" s="283"/>
      <c r="S261" s="327"/>
      <c r="T261" s="330"/>
    </row>
    <row r="262" spans="1:20">
      <c r="B262" s="472" t="s">
        <v>274</v>
      </c>
      <c r="C262" s="354" t="s">
        <v>223</v>
      </c>
      <c r="D262" s="473"/>
      <c r="E262" s="474"/>
      <c r="F262" s="474"/>
      <c r="G262" s="474"/>
      <c r="H262" s="475"/>
      <c r="I262" s="476">
        <f>SUM(I260:I261)</f>
        <v>0</v>
      </c>
      <c r="J262" s="477">
        <f>SUM(J260:J261)</f>
        <v>0</v>
      </c>
      <c r="K262" s="477">
        <f>SUM(K260:K261)</f>
        <v>0</v>
      </c>
      <c r="L262" s="477">
        <f>SUM(L260:L261)</f>
        <v>0</v>
      </c>
      <c r="M262" s="478">
        <f>SUM(M260:M261)</f>
        <v>0</v>
      </c>
      <c r="N262" s="283"/>
      <c r="O262" s="306">
        <f>SUM(D262:G262)</f>
        <v>0</v>
      </c>
      <c r="P262" s="307">
        <f>SUM(H262)</f>
        <v>0</v>
      </c>
      <c r="Q262" s="308">
        <f>SUM(D262:H262)</f>
        <v>0</v>
      </c>
      <c r="R262" s="283"/>
      <c r="S262" s="306">
        <f>SUM(I262:M262)</f>
        <v>0</v>
      </c>
      <c r="T262" s="309" t="str">
        <f>IF(Q262&lt;&gt;0,(S262-Q262)/Q262,"0")</f>
        <v>0</v>
      </c>
    </row>
    <row r="263" spans="1:20" ht="13.5" thickBot="1">
      <c r="B263" s="492" t="s">
        <v>362</v>
      </c>
      <c r="C263" s="480"/>
      <c r="D263" s="481">
        <f t="shared" ref="D263:M263" si="26">SUM(D250,D254,D258,D262)</f>
        <v>0</v>
      </c>
      <c r="E263" s="481">
        <f t="shared" si="26"/>
        <v>0</v>
      </c>
      <c r="F263" s="481">
        <f t="shared" si="26"/>
        <v>0</v>
      </c>
      <c r="G263" s="481">
        <f t="shared" si="26"/>
        <v>0</v>
      </c>
      <c r="H263" s="481">
        <f t="shared" si="26"/>
        <v>0</v>
      </c>
      <c r="I263" s="482">
        <f t="shared" si="26"/>
        <v>0</v>
      </c>
      <c r="J263" s="482">
        <f t="shared" si="26"/>
        <v>0</v>
      </c>
      <c r="K263" s="482">
        <f t="shared" si="26"/>
        <v>0</v>
      </c>
      <c r="L263" s="482">
        <f t="shared" si="26"/>
        <v>0</v>
      </c>
      <c r="M263" s="483">
        <f t="shared" si="26"/>
        <v>0</v>
      </c>
      <c r="N263" s="283"/>
      <c r="O263" s="338">
        <f>SUM(O250,O254,O258,O262)</f>
        <v>0</v>
      </c>
      <c r="P263" s="339">
        <f>SUM(P250,P254,P258,P262)</f>
        <v>0</v>
      </c>
      <c r="Q263" s="340">
        <f>SUM(Q250,Q254,Q258,Q262)</f>
        <v>0</v>
      </c>
      <c r="R263" s="283"/>
      <c r="S263" s="338">
        <f>SUM(S250,S254,S258,S262)</f>
        <v>0</v>
      </c>
      <c r="T263" s="341" t="str">
        <f>IF(Q263&lt;&gt;0,(S263-Q263)/Q263,"0")</f>
        <v>0</v>
      </c>
    </row>
    <row r="266" spans="1:20">
      <c r="D266" s="493">
        <f>SUM(D240:M240) - SUM(D263:M263)</f>
        <v>0</v>
      </c>
    </row>
    <row r="267" spans="1:20">
      <c r="A267" s="494"/>
      <c r="B267" s="495"/>
      <c r="C267" s="496"/>
      <c r="D267" s="385"/>
      <c r="E267" s="385"/>
      <c r="F267" s="385"/>
      <c r="G267" s="385"/>
      <c r="H267" s="385"/>
      <c r="I267" s="385"/>
      <c r="J267" s="385"/>
      <c r="K267" s="385"/>
      <c r="L267" s="385"/>
      <c r="M267" s="385"/>
      <c r="N267" s="385"/>
    </row>
  </sheetData>
  <mergeCells count="18">
    <mergeCell ref="B182:B183"/>
    <mergeCell ref="C182:C183"/>
    <mergeCell ref="B221:B222"/>
    <mergeCell ref="C221:C222"/>
    <mergeCell ref="B245:B246"/>
    <mergeCell ref="C245:C246"/>
    <mergeCell ref="B79:B80"/>
    <mergeCell ref="C79:C80"/>
    <mergeCell ref="B110:B111"/>
    <mergeCell ref="C110:C111"/>
    <mergeCell ref="B143:B144"/>
    <mergeCell ref="C143:C144"/>
    <mergeCell ref="C8:C9"/>
    <mergeCell ref="C18:C19"/>
    <mergeCell ref="B26:B27"/>
    <mergeCell ref="C26:C27"/>
    <mergeCell ref="B48:B49"/>
    <mergeCell ref="C48:C49"/>
  </mergeCells>
  <phoneticPr fontId="1" type="noConversion"/>
  <pageMargins left="0.75" right="0.75" top="1" bottom="1" header="0.5" footer="0.5"/>
  <pageSetup paperSize="9" scale="21"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5FFFF"/>
    <pageSetUpPr fitToPage="1"/>
  </sheetPr>
  <dimension ref="A1:AK126"/>
  <sheetViews>
    <sheetView workbookViewId="0">
      <selection sqref="A1:XFD1048576"/>
    </sheetView>
  </sheetViews>
  <sheetFormatPr defaultColWidth="8.85546875" defaultRowHeight="12.75"/>
  <cols>
    <col min="1" max="1" width="9.42578125" style="112" customWidth="1"/>
    <col min="2" max="2" width="4.7109375" style="112" customWidth="1"/>
    <col min="3" max="3" width="39" style="112" customWidth="1"/>
    <col min="4" max="13" width="11" style="112" customWidth="1"/>
    <col min="14" max="36" width="15.42578125" style="112" customWidth="1"/>
    <col min="37" max="37" width="14.140625" style="112" customWidth="1"/>
    <col min="38" max="16384" width="8.85546875" style="112"/>
  </cols>
  <sheetData>
    <row r="1" spans="1:36" s="498" customFormat="1" ht="26.25">
      <c r="A1" s="497" t="s">
        <v>363</v>
      </c>
      <c r="D1" s="497"/>
      <c r="E1" s="499"/>
      <c r="F1" s="500"/>
      <c r="G1" s="500"/>
      <c r="I1" s="501"/>
      <c r="J1" s="501"/>
      <c r="L1" s="501"/>
    </row>
    <row r="2" spans="1:36" s="498" customFormat="1" ht="18">
      <c r="A2" s="502" t="s">
        <v>1017</v>
      </c>
      <c r="E2" s="503"/>
    </row>
    <row r="3" spans="1:36" s="505" customFormat="1" ht="18.75" thickBot="1">
      <c r="A3" s="504" t="s">
        <v>364</v>
      </c>
      <c r="D3" s="504"/>
      <c r="E3" s="506"/>
    </row>
    <row r="5" spans="1:36" s="105" customFormat="1" ht="15.75" customHeight="1">
      <c r="B5" s="106" t="s">
        <v>365</v>
      </c>
      <c r="C5" s="106"/>
    </row>
    <row r="6" spans="1:36" ht="13.5" thickBot="1">
      <c r="B6" s="157"/>
      <c r="C6" s="157"/>
    </row>
    <row r="7" spans="1:36" ht="15.75" customHeight="1">
      <c r="B7" s="157"/>
      <c r="C7" s="1512"/>
      <c r="D7" s="115" t="s">
        <v>211</v>
      </c>
      <c r="E7" s="116"/>
      <c r="F7" s="116"/>
      <c r="G7" s="116"/>
      <c r="H7" s="117"/>
      <c r="I7" s="116" t="s">
        <v>212</v>
      </c>
      <c r="J7" s="118"/>
      <c r="K7" s="118"/>
      <c r="L7" s="118"/>
      <c r="M7" s="117"/>
      <c r="N7" s="114"/>
      <c r="O7" s="1515" t="s">
        <v>211</v>
      </c>
      <c r="P7" s="1516"/>
      <c r="Q7" s="1517"/>
      <c r="R7" s="107"/>
      <c r="S7" s="1515" t="s">
        <v>212</v>
      </c>
      <c r="T7" s="1517"/>
      <c r="U7" s="507"/>
      <c r="W7" s="508"/>
      <c r="X7" s="508"/>
      <c r="Y7" s="508"/>
      <c r="Z7" s="508"/>
      <c r="AA7" s="508"/>
      <c r="AB7" s="508"/>
      <c r="AC7" s="508"/>
      <c r="AD7" s="508"/>
      <c r="AE7" s="508"/>
      <c r="AF7" s="508"/>
      <c r="AG7" s="508"/>
      <c r="AH7" s="508"/>
      <c r="AI7" s="508"/>
      <c r="AJ7" s="508"/>
    </row>
    <row r="8" spans="1:36" ht="15.75" customHeight="1">
      <c r="C8" s="1513"/>
      <c r="D8" s="126" t="s">
        <v>99</v>
      </c>
      <c r="E8" s="127" t="s">
        <v>100</v>
      </c>
      <c r="F8" s="127" t="s">
        <v>101</v>
      </c>
      <c r="G8" s="127" t="s">
        <v>102</v>
      </c>
      <c r="H8" s="128" t="s">
        <v>64</v>
      </c>
      <c r="I8" s="509" t="s">
        <v>213</v>
      </c>
      <c r="J8" s="127" t="s">
        <v>214</v>
      </c>
      <c r="K8" s="127" t="s">
        <v>215</v>
      </c>
      <c r="L8" s="127" t="s">
        <v>216</v>
      </c>
      <c r="M8" s="128" t="s">
        <v>217</v>
      </c>
      <c r="N8" s="114"/>
      <c r="O8" s="510" t="s">
        <v>218</v>
      </c>
      <c r="P8" s="511" t="s">
        <v>219</v>
      </c>
      <c r="Q8" s="512" t="s">
        <v>220</v>
      </c>
      <c r="R8" s="107"/>
      <c r="S8" s="510" t="s">
        <v>219</v>
      </c>
      <c r="T8" s="512" t="s">
        <v>221</v>
      </c>
      <c r="U8" s="507"/>
      <c r="W8" s="513"/>
      <c r="X8" s="513"/>
      <c r="Y8" s="513"/>
      <c r="Z8" s="513"/>
      <c r="AA8" s="513"/>
      <c r="AB8" s="513"/>
      <c r="AC8" s="513"/>
      <c r="AD8" s="513"/>
      <c r="AE8" s="513"/>
      <c r="AF8" s="513"/>
      <c r="AG8" s="513"/>
      <c r="AH8" s="513"/>
      <c r="AI8" s="513"/>
      <c r="AJ8" s="513"/>
    </row>
    <row r="9" spans="1:36" ht="15.75" customHeight="1">
      <c r="C9" s="1514"/>
      <c r="D9" s="514" t="s">
        <v>366</v>
      </c>
      <c r="E9" s="515" t="s">
        <v>366</v>
      </c>
      <c r="F9" s="515" t="s">
        <v>366</v>
      </c>
      <c r="G9" s="515" t="s">
        <v>366</v>
      </c>
      <c r="H9" s="516" t="s">
        <v>366</v>
      </c>
      <c r="I9" s="517" t="s">
        <v>366</v>
      </c>
      <c r="J9" s="515" t="s">
        <v>366</v>
      </c>
      <c r="K9" s="515" t="s">
        <v>366</v>
      </c>
      <c r="L9" s="515" t="s">
        <v>366</v>
      </c>
      <c r="M9" s="516" t="s">
        <v>366</v>
      </c>
      <c r="N9" s="518"/>
      <c r="O9" s="514" t="s">
        <v>366</v>
      </c>
      <c r="P9" s="515" t="s">
        <v>366</v>
      </c>
      <c r="Q9" s="516" t="s">
        <v>366</v>
      </c>
      <c r="R9" s="107"/>
      <c r="S9" s="514" t="s">
        <v>366</v>
      </c>
      <c r="T9" s="516" t="s">
        <v>366</v>
      </c>
      <c r="U9" s="519"/>
      <c r="W9" s="519"/>
      <c r="X9" s="519"/>
      <c r="Y9" s="519"/>
      <c r="Z9" s="519"/>
      <c r="AA9" s="519"/>
      <c r="AB9" s="519"/>
      <c r="AC9" s="519"/>
      <c r="AD9" s="519"/>
      <c r="AE9" s="519"/>
      <c r="AF9" s="519"/>
      <c r="AG9" s="519"/>
      <c r="AH9" s="519"/>
      <c r="AI9" s="519"/>
      <c r="AJ9" s="519"/>
    </row>
    <row r="10" spans="1:36" ht="15.75" customHeight="1">
      <c r="C10" s="226" t="s">
        <v>367</v>
      </c>
      <c r="D10" s="520"/>
      <c r="E10" s="521"/>
      <c r="F10" s="521"/>
      <c r="G10" s="521"/>
      <c r="H10" s="522"/>
      <c r="I10" s="521"/>
      <c r="J10" s="521"/>
      <c r="K10" s="521"/>
      <c r="L10" s="521"/>
      <c r="M10" s="522"/>
      <c r="N10" s="518"/>
      <c r="O10" s="520"/>
      <c r="P10" s="264"/>
      <c r="Q10" s="523"/>
      <c r="R10" s="107"/>
      <c r="S10" s="520"/>
      <c r="T10" s="524"/>
      <c r="U10" s="525"/>
      <c r="W10" s="525"/>
      <c r="X10" s="525"/>
      <c r="Y10" s="525"/>
      <c r="Z10" s="525"/>
      <c r="AA10" s="525"/>
      <c r="AB10" s="525"/>
      <c r="AC10" s="525"/>
      <c r="AD10" s="525"/>
      <c r="AE10" s="525"/>
      <c r="AF10" s="525"/>
      <c r="AG10" s="525"/>
      <c r="AH10" s="525"/>
      <c r="AI10" s="525"/>
      <c r="AJ10" s="525"/>
    </row>
    <row r="11" spans="1:36" ht="15.75" customHeight="1">
      <c r="C11" s="526" t="s">
        <v>368</v>
      </c>
      <c r="D11" s="527">
        <v>0</v>
      </c>
      <c r="E11" s="528">
        <v>0</v>
      </c>
      <c r="F11" s="528">
        <v>0.7</v>
      </c>
      <c r="G11" s="528">
        <v>0.64</v>
      </c>
      <c r="H11" s="529">
        <v>1.4</v>
      </c>
      <c r="I11" s="528">
        <v>1.3722476649072282</v>
      </c>
      <c r="J11" s="530">
        <v>1.3759627643710299</v>
      </c>
      <c r="K11" s="530">
        <v>1.3759627643710299</v>
      </c>
      <c r="L11" s="530">
        <v>1.3759627643710299</v>
      </c>
      <c r="M11" s="529">
        <v>1.3759627643710299</v>
      </c>
      <c r="N11" s="531"/>
      <c r="O11" s="532">
        <v>1.3399999999999999</v>
      </c>
      <c r="P11" s="533">
        <v>1.4</v>
      </c>
      <c r="Q11" s="534">
        <v>2.7399999999999998</v>
      </c>
      <c r="R11" s="107"/>
      <c r="S11" s="532">
        <v>6.8760987223913475</v>
      </c>
      <c r="T11" s="309">
        <v>1.5095250811647254</v>
      </c>
      <c r="U11" s="535"/>
      <c r="W11" s="535"/>
      <c r="X11" s="535"/>
      <c r="Y11" s="535"/>
      <c r="Z11" s="535"/>
      <c r="AA11" s="535"/>
      <c r="AB11" s="535"/>
      <c r="AC11" s="535"/>
      <c r="AD11" s="535"/>
      <c r="AE11" s="535"/>
      <c r="AF11" s="535"/>
      <c r="AG11" s="535"/>
      <c r="AH11" s="535"/>
      <c r="AI11" s="536"/>
      <c r="AJ11" s="535"/>
    </row>
    <row r="12" spans="1:36" ht="15.75" customHeight="1">
      <c r="C12" s="526" t="s">
        <v>369</v>
      </c>
      <c r="D12" s="527">
        <v>4.8</v>
      </c>
      <c r="E12" s="528">
        <v>3</v>
      </c>
      <c r="F12" s="528">
        <v>3</v>
      </c>
      <c r="G12" s="528">
        <v>2.14</v>
      </c>
      <c r="H12" s="529">
        <v>2.7</v>
      </c>
      <c r="I12" s="528">
        <v>2.6699621603729331</v>
      </c>
      <c r="J12" s="530">
        <v>2.7128930165175302</v>
      </c>
      <c r="K12" s="530">
        <v>2.5419821166034504</v>
      </c>
      <c r="L12" s="530">
        <v>2.1893994168612099</v>
      </c>
      <c r="M12" s="529">
        <v>2.2393994168612097</v>
      </c>
      <c r="N12" s="531"/>
      <c r="O12" s="532">
        <v>12.940000000000001</v>
      </c>
      <c r="P12" s="533">
        <v>2.7</v>
      </c>
      <c r="Q12" s="534">
        <v>15.64</v>
      </c>
      <c r="R12" s="107"/>
      <c r="S12" s="532">
        <v>12.353636127216333</v>
      </c>
      <c r="T12" s="309">
        <v>-0.21012556731353371</v>
      </c>
      <c r="U12" s="535"/>
      <c r="W12" s="535"/>
      <c r="X12" s="535"/>
      <c r="Y12" s="535"/>
      <c r="Z12" s="535"/>
      <c r="AA12" s="535"/>
      <c r="AB12" s="535"/>
      <c r="AC12" s="535"/>
      <c r="AD12" s="535"/>
      <c r="AE12" s="535"/>
      <c r="AF12" s="535"/>
      <c r="AG12" s="535"/>
      <c r="AH12" s="535"/>
      <c r="AI12" s="535"/>
      <c r="AJ12" s="535"/>
    </row>
    <row r="13" spans="1:36" ht="15.75" customHeight="1">
      <c r="C13" s="526" t="s">
        <v>370</v>
      </c>
      <c r="D13" s="527">
        <v>5.2</v>
      </c>
      <c r="E13" s="528">
        <v>2.5</v>
      </c>
      <c r="F13" s="528">
        <v>6.5</v>
      </c>
      <c r="G13" s="528">
        <v>4.71</v>
      </c>
      <c r="H13" s="529">
        <v>2.27</v>
      </c>
      <c r="I13" s="528">
        <v>1.5314618530078126</v>
      </c>
      <c r="J13" s="530">
        <v>3.4734459376562499</v>
      </c>
      <c r="K13" s="530">
        <v>5.7415429693749997</v>
      </c>
      <c r="L13" s="530">
        <v>4.6929999999999996</v>
      </c>
      <c r="M13" s="529">
        <v>0.41499999999999998</v>
      </c>
      <c r="N13" s="531"/>
      <c r="O13" s="532">
        <v>18.91</v>
      </c>
      <c r="P13" s="533">
        <v>2.27</v>
      </c>
      <c r="Q13" s="534">
        <v>21.18</v>
      </c>
      <c r="R13" s="107"/>
      <c r="S13" s="532">
        <v>15.854450760039061</v>
      </c>
      <c r="T13" s="309">
        <v>-0.25144236260438807</v>
      </c>
      <c r="U13" s="535"/>
      <c r="W13" s="535"/>
      <c r="X13" s="535"/>
      <c r="Y13" s="535"/>
      <c r="Z13" s="535"/>
      <c r="AA13" s="535"/>
      <c r="AB13" s="535"/>
      <c r="AC13" s="535"/>
      <c r="AD13" s="535"/>
      <c r="AE13" s="535"/>
      <c r="AF13" s="535"/>
      <c r="AG13" s="535"/>
      <c r="AH13" s="535"/>
      <c r="AI13" s="535"/>
      <c r="AJ13" s="535"/>
    </row>
    <row r="14" spans="1:36" ht="15.75" customHeight="1">
      <c r="C14" s="526" t="s">
        <v>371</v>
      </c>
      <c r="D14" s="527">
        <v>1.4</v>
      </c>
      <c r="E14" s="528">
        <v>2</v>
      </c>
      <c r="F14" s="528">
        <v>4.2</v>
      </c>
      <c r="G14" s="528">
        <v>9.17</v>
      </c>
      <c r="H14" s="529">
        <v>4.9000000000000004</v>
      </c>
      <c r="I14" s="528">
        <v>5.3903803092249998</v>
      </c>
      <c r="J14" s="530">
        <v>4.1321735099999994</v>
      </c>
      <c r="K14" s="530">
        <v>6.2773612349999999</v>
      </c>
      <c r="L14" s="530">
        <v>2.4087580000000002</v>
      </c>
      <c r="M14" s="529">
        <v>3.0585849999999999</v>
      </c>
      <c r="N14" s="531"/>
      <c r="O14" s="532">
        <v>16.77</v>
      </c>
      <c r="P14" s="533">
        <v>4.9000000000000004</v>
      </c>
      <c r="Q14" s="534">
        <v>21.67</v>
      </c>
      <c r="R14" s="107"/>
      <c r="S14" s="532">
        <v>21.267258054225</v>
      </c>
      <c r="T14" s="309">
        <v>-1.8585230538763362E-2</v>
      </c>
      <c r="U14" s="535"/>
      <c r="W14" s="535"/>
      <c r="X14" s="535"/>
      <c r="Y14" s="535"/>
      <c r="Z14" s="535"/>
      <c r="AA14" s="535"/>
      <c r="AB14" s="535"/>
      <c r="AC14" s="535"/>
      <c r="AD14" s="535"/>
      <c r="AE14" s="535"/>
      <c r="AF14" s="535"/>
      <c r="AG14" s="535"/>
      <c r="AH14" s="535"/>
      <c r="AI14" s="535"/>
      <c r="AJ14" s="535"/>
    </row>
    <row r="15" spans="1:36" ht="15.75" customHeight="1">
      <c r="C15" s="184" t="s">
        <v>372</v>
      </c>
      <c r="D15" s="537"/>
      <c r="E15" s="538"/>
      <c r="F15" s="538"/>
      <c r="G15" s="528">
        <v>0</v>
      </c>
      <c r="H15" s="529">
        <v>0</v>
      </c>
      <c r="I15" s="528">
        <v>0</v>
      </c>
      <c r="J15" s="530">
        <v>0</v>
      </c>
      <c r="K15" s="530">
        <v>0</v>
      </c>
      <c r="L15" s="530">
        <v>0</v>
      </c>
      <c r="M15" s="529">
        <v>0</v>
      </c>
      <c r="N15" s="539"/>
      <c r="O15" s="532">
        <v>0</v>
      </c>
      <c r="P15" s="533">
        <v>0</v>
      </c>
      <c r="Q15" s="534">
        <v>0</v>
      </c>
      <c r="R15" s="107"/>
      <c r="S15" s="532">
        <v>0</v>
      </c>
      <c r="T15" s="309" t="s">
        <v>1018</v>
      </c>
      <c r="U15" s="535"/>
      <c r="W15" s="535"/>
      <c r="X15" s="535"/>
      <c r="Y15" s="535"/>
      <c r="Z15" s="535"/>
      <c r="AA15" s="535"/>
      <c r="AB15" s="535"/>
      <c r="AC15" s="535"/>
      <c r="AD15" s="535"/>
      <c r="AE15" s="535"/>
      <c r="AF15" s="535"/>
      <c r="AG15" s="535"/>
      <c r="AH15" s="535"/>
      <c r="AI15" s="535"/>
      <c r="AJ15" s="535"/>
    </row>
    <row r="16" spans="1:36" ht="15.75" customHeight="1">
      <c r="C16" s="184" t="s">
        <v>220</v>
      </c>
      <c r="D16" s="540">
        <v>11.4</v>
      </c>
      <c r="E16" s="541">
        <v>7.5</v>
      </c>
      <c r="F16" s="541">
        <v>14.399999999999999</v>
      </c>
      <c r="G16" s="541">
        <v>16.66</v>
      </c>
      <c r="H16" s="542">
        <v>11.27</v>
      </c>
      <c r="I16" s="541">
        <v>10.964051987512974</v>
      </c>
      <c r="J16" s="543">
        <v>11.694475228544809</v>
      </c>
      <c r="K16" s="543">
        <v>15.936849085349479</v>
      </c>
      <c r="L16" s="543">
        <v>10.66712018123224</v>
      </c>
      <c r="M16" s="542">
        <v>7.0889471812322391</v>
      </c>
      <c r="N16" s="544"/>
      <c r="O16" s="540">
        <v>49.959999999999994</v>
      </c>
      <c r="P16" s="543">
        <v>11.27</v>
      </c>
      <c r="Q16" s="542">
        <v>61.22999999999999</v>
      </c>
      <c r="R16" s="107"/>
      <c r="S16" s="540">
        <v>56.351443663871748</v>
      </c>
      <c r="T16" s="545">
        <v>-7.9675915990988763E-2</v>
      </c>
      <c r="U16" s="546"/>
      <c r="V16" s="536"/>
      <c r="W16" s="547"/>
      <c r="X16" s="547"/>
      <c r="Y16" s="547"/>
      <c r="Z16" s="547"/>
      <c r="AA16" s="547"/>
      <c r="AB16" s="547"/>
      <c r="AC16" s="547"/>
      <c r="AD16" s="547"/>
      <c r="AE16" s="547"/>
      <c r="AF16" s="546"/>
      <c r="AG16" s="547"/>
      <c r="AH16" s="547"/>
      <c r="AI16" s="547"/>
      <c r="AJ16" s="546"/>
    </row>
    <row r="17" spans="1:36" ht="15.75" customHeight="1">
      <c r="C17" s="184"/>
      <c r="D17" s="548"/>
      <c r="E17" s="549"/>
      <c r="F17" s="549"/>
      <c r="G17" s="549"/>
      <c r="H17" s="550"/>
      <c r="I17" s="549"/>
      <c r="J17" s="549"/>
      <c r="K17" s="549"/>
      <c r="L17" s="549"/>
      <c r="M17" s="550"/>
      <c r="N17" s="531"/>
      <c r="O17" s="548"/>
      <c r="P17" s="551"/>
      <c r="Q17" s="552"/>
      <c r="R17" s="107"/>
      <c r="S17" s="548"/>
      <c r="T17" s="553"/>
      <c r="U17" s="535"/>
      <c r="W17" s="535"/>
      <c r="X17" s="535"/>
      <c r="Y17" s="535"/>
      <c r="Z17" s="535"/>
      <c r="AA17" s="535"/>
      <c r="AB17" s="535"/>
      <c r="AC17" s="535"/>
      <c r="AD17" s="535"/>
      <c r="AE17" s="535"/>
      <c r="AF17" s="535"/>
      <c r="AG17" s="535"/>
      <c r="AH17" s="535"/>
      <c r="AI17" s="535"/>
      <c r="AJ17" s="535"/>
    </row>
    <row r="18" spans="1:36" ht="15.75" customHeight="1">
      <c r="C18" s="184" t="s">
        <v>277</v>
      </c>
      <c r="D18" s="537"/>
      <c r="E18" s="538"/>
      <c r="F18" s="538"/>
      <c r="G18" s="528">
        <v>0.2</v>
      </c>
      <c r="H18" s="529">
        <v>0.2</v>
      </c>
      <c r="I18" s="528">
        <v>0.2</v>
      </c>
      <c r="J18" s="530">
        <v>0.2</v>
      </c>
      <c r="K18" s="530">
        <v>0.2</v>
      </c>
      <c r="L18" s="530">
        <v>0.2</v>
      </c>
      <c r="M18" s="529">
        <v>0.2</v>
      </c>
      <c r="N18" s="539"/>
      <c r="O18" s="532">
        <v>0.2</v>
      </c>
      <c r="P18" s="533">
        <v>0.2</v>
      </c>
      <c r="Q18" s="534">
        <v>0.4</v>
      </c>
      <c r="R18" s="107"/>
      <c r="S18" s="532">
        <v>1</v>
      </c>
      <c r="T18" s="309">
        <v>1.4999999999999998</v>
      </c>
      <c r="U18" s="535"/>
      <c r="W18" s="535"/>
      <c r="X18" s="535"/>
      <c r="Y18" s="535"/>
      <c r="Z18" s="535"/>
      <c r="AA18" s="535"/>
      <c r="AB18" s="535"/>
      <c r="AC18" s="535"/>
      <c r="AD18" s="535"/>
      <c r="AE18" s="535"/>
      <c r="AF18" s="535"/>
      <c r="AG18" s="535"/>
      <c r="AH18" s="535"/>
      <c r="AI18" s="535"/>
      <c r="AJ18" s="535"/>
    </row>
    <row r="19" spans="1:36" ht="15.75" customHeight="1" thickBot="1">
      <c r="C19" s="192" t="s">
        <v>278</v>
      </c>
      <c r="D19" s="554"/>
      <c r="E19" s="555"/>
      <c r="F19" s="555"/>
      <c r="G19" s="556">
        <v>0</v>
      </c>
      <c r="H19" s="557">
        <v>0</v>
      </c>
      <c r="I19" s="556">
        <v>0</v>
      </c>
      <c r="J19" s="558">
        <v>0</v>
      </c>
      <c r="K19" s="558">
        <v>0</v>
      </c>
      <c r="L19" s="558">
        <v>0</v>
      </c>
      <c r="M19" s="557">
        <v>0</v>
      </c>
      <c r="N19" s="539"/>
      <c r="O19" s="559">
        <v>0</v>
      </c>
      <c r="P19" s="560">
        <v>0</v>
      </c>
      <c r="Q19" s="561">
        <v>0</v>
      </c>
      <c r="R19" s="107"/>
      <c r="S19" s="559">
        <v>0</v>
      </c>
      <c r="T19" s="341" t="s">
        <v>1018</v>
      </c>
      <c r="U19" s="535"/>
      <c r="W19" s="535"/>
      <c r="X19" s="535"/>
      <c r="Y19" s="535"/>
      <c r="Z19" s="535"/>
      <c r="AA19" s="535"/>
      <c r="AB19" s="535"/>
      <c r="AC19" s="535"/>
      <c r="AD19" s="535"/>
      <c r="AE19" s="535"/>
      <c r="AF19" s="535"/>
      <c r="AG19" s="535"/>
      <c r="AH19" s="535"/>
      <c r="AI19" s="535"/>
      <c r="AJ19" s="535"/>
    </row>
    <row r="20" spans="1:36">
      <c r="U20" s="562"/>
    </row>
    <row r="21" spans="1:36" s="536" customFormat="1"/>
    <row r="22" spans="1:36" s="536" customFormat="1">
      <c r="B22" s="157" t="s">
        <v>373</v>
      </c>
    </row>
    <row r="23" spans="1:36" s="536" customFormat="1" ht="13.5" thickBot="1">
      <c r="A23" s="157"/>
      <c r="B23" s="157"/>
    </row>
    <row r="24" spans="1:36" s="536" customFormat="1" ht="27" customHeight="1">
      <c r="A24" s="157"/>
      <c r="B24" s="157"/>
      <c r="C24" s="1508" t="s">
        <v>374</v>
      </c>
      <c r="D24" s="115" t="s">
        <v>375</v>
      </c>
      <c r="E24" s="116"/>
      <c r="F24" s="116"/>
      <c r="G24" s="563"/>
      <c r="H24" s="115" t="s">
        <v>376</v>
      </c>
      <c r="I24" s="116"/>
      <c r="J24" s="116"/>
      <c r="K24" s="563"/>
      <c r="L24" s="564" t="s">
        <v>375</v>
      </c>
      <c r="M24" s="565" t="s">
        <v>376</v>
      </c>
    </row>
    <row r="25" spans="1:36" s="536" customFormat="1">
      <c r="A25" s="157"/>
      <c r="B25" s="157"/>
      <c r="C25" s="1509"/>
      <c r="D25" s="566" t="s">
        <v>377</v>
      </c>
      <c r="E25" s="567" t="s">
        <v>378</v>
      </c>
      <c r="F25" s="567" t="s">
        <v>379</v>
      </c>
      <c r="G25" s="568" t="s">
        <v>380</v>
      </c>
      <c r="H25" s="566" t="s">
        <v>377</v>
      </c>
      <c r="I25" s="567" t="s">
        <v>378</v>
      </c>
      <c r="J25" s="567" t="s">
        <v>379</v>
      </c>
      <c r="K25" s="568" t="s">
        <v>380</v>
      </c>
      <c r="L25" s="569" t="s">
        <v>220</v>
      </c>
      <c r="M25" s="570" t="s">
        <v>220</v>
      </c>
    </row>
    <row r="26" spans="1:36" s="536" customFormat="1" ht="15.75" customHeight="1">
      <c r="A26" s="157"/>
      <c r="B26" s="157"/>
      <c r="C26" s="571" t="s">
        <v>381</v>
      </c>
      <c r="D26" s="572"/>
      <c r="E26" s="573"/>
      <c r="F26" s="573"/>
      <c r="G26" s="574"/>
      <c r="H26" s="572"/>
      <c r="I26" s="573"/>
      <c r="J26" s="573"/>
      <c r="K26" s="574"/>
      <c r="L26" s="575">
        <v>0</v>
      </c>
      <c r="M26" s="576">
        <v>0</v>
      </c>
    </row>
    <row r="27" spans="1:36" s="536" customFormat="1" ht="15.75" customHeight="1">
      <c r="A27" s="157"/>
      <c r="B27" s="157"/>
      <c r="C27" s="577" t="s">
        <v>382</v>
      </c>
      <c r="D27" s="572"/>
      <c r="E27" s="573"/>
      <c r="F27" s="573"/>
      <c r="G27" s="574"/>
      <c r="H27" s="572"/>
      <c r="I27" s="573"/>
      <c r="J27" s="573"/>
      <c r="K27" s="574"/>
      <c r="L27" s="575">
        <v>0</v>
      </c>
      <c r="M27" s="576">
        <v>0</v>
      </c>
    </row>
    <row r="28" spans="1:36" s="536" customFormat="1" ht="15.75" customHeight="1">
      <c r="A28" s="157"/>
      <c r="B28" s="157"/>
      <c r="C28" s="577" t="s">
        <v>383</v>
      </c>
      <c r="D28" s="572"/>
      <c r="E28" s="573"/>
      <c r="F28" s="573"/>
      <c r="G28" s="574"/>
      <c r="H28" s="572"/>
      <c r="I28" s="573"/>
      <c r="J28" s="573"/>
      <c r="K28" s="574"/>
      <c r="L28" s="575">
        <v>0</v>
      </c>
      <c r="M28" s="576">
        <v>0</v>
      </c>
    </row>
    <row r="29" spans="1:36" s="536" customFormat="1" ht="15.75" customHeight="1" thickBot="1">
      <c r="A29" s="157"/>
      <c r="B29" s="157"/>
      <c r="C29" s="578" t="s">
        <v>384</v>
      </c>
      <c r="D29" s="579" t="s">
        <v>1013</v>
      </c>
      <c r="E29" s="580" t="s">
        <v>1013</v>
      </c>
      <c r="F29" s="580" t="s">
        <v>1013</v>
      </c>
      <c r="G29" s="581" t="s">
        <v>1013</v>
      </c>
      <c r="H29" s="579" t="s">
        <v>1013</v>
      </c>
      <c r="I29" s="580" t="s">
        <v>1013</v>
      </c>
      <c r="J29" s="580" t="s">
        <v>1013</v>
      </c>
      <c r="K29" s="581" t="s">
        <v>1013</v>
      </c>
      <c r="L29" s="582" t="s">
        <v>1013</v>
      </c>
      <c r="M29" s="583" t="s">
        <v>1013</v>
      </c>
    </row>
    <row r="30" spans="1:36" s="536" customFormat="1">
      <c r="A30" s="157"/>
      <c r="B30" s="157"/>
      <c r="C30" s="584"/>
      <c r="D30" s="585"/>
      <c r="E30" s="585"/>
      <c r="F30" s="585"/>
      <c r="G30" s="585"/>
    </row>
    <row r="31" spans="1:36" s="536" customFormat="1" ht="13.5" thickBot="1">
      <c r="A31" s="157"/>
      <c r="B31" s="157"/>
      <c r="C31" s="584"/>
      <c r="D31" s="585"/>
      <c r="E31" s="585"/>
      <c r="F31" s="585"/>
      <c r="G31" s="585"/>
    </row>
    <row r="32" spans="1:36" s="536" customFormat="1" ht="39" customHeight="1">
      <c r="A32" s="157"/>
      <c r="B32" s="157"/>
      <c r="C32" s="1518" t="s">
        <v>385</v>
      </c>
      <c r="D32" s="115" t="s">
        <v>375</v>
      </c>
      <c r="E32" s="116"/>
      <c r="F32" s="116"/>
      <c r="G32" s="563"/>
      <c r="H32" s="115" t="s">
        <v>376</v>
      </c>
      <c r="I32" s="116"/>
      <c r="J32" s="116"/>
      <c r="K32" s="563"/>
      <c r="L32" s="564" t="s">
        <v>375</v>
      </c>
      <c r="M32" s="565" t="s">
        <v>376</v>
      </c>
    </row>
    <row r="33" spans="1:37" s="536" customFormat="1" ht="15.75" customHeight="1">
      <c r="A33" s="157"/>
      <c r="B33" s="157"/>
      <c r="C33" s="1519"/>
      <c r="D33" s="566" t="s">
        <v>377</v>
      </c>
      <c r="E33" s="567" t="s">
        <v>378</v>
      </c>
      <c r="F33" s="567" t="s">
        <v>379</v>
      </c>
      <c r="G33" s="568" t="s">
        <v>380</v>
      </c>
      <c r="H33" s="566" t="s">
        <v>377</v>
      </c>
      <c r="I33" s="567" t="s">
        <v>378</v>
      </c>
      <c r="J33" s="567" t="s">
        <v>379</v>
      </c>
      <c r="K33" s="568" t="s">
        <v>380</v>
      </c>
      <c r="L33" s="569" t="s">
        <v>220</v>
      </c>
      <c r="M33" s="570" t="s">
        <v>220</v>
      </c>
    </row>
    <row r="34" spans="1:37" s="536" customFormat="1" ht="25.5">
      <c r="A34" s="157"/>
      <c r="B34" s="157"/>
      <c r="C34" s="586" t="s">
        <v>386</v>
      </c>
      <c r="D34" s="572"/>
      <c r="E34" s="573"/>
      <c r="F34" s="573"/>
      <c r="G34" s="574"/>
      <c r="H34" s="572"/>
      <c r="I34" s="573"/>
      <c r="J34" s="573"/>
      <c r="K34" s="574"/>
      <c r="L34" s="575">
        <v>0</v>
      </c>
      <c r="M34" s="576">
        <v>0</v>
      </c>
    </row>
    <row r="35" spans="1:37" s="536" customFormat="1" ht="25.5">
      <c r="A35" s="157"/>
      <c r="B35" s="157"/>
      <c r="C35" s="586" t="s">
        <v>387</v>
      </c>
      <c r="D35" s="572"/>
      <c r="E35" s="573"/>
      <c r="F35" s="573"/>
      <c r="G35" s="574"/>
      <c r="H35" s="572"/>
      <c r="I35" s="573"/>
      <c r="J35" s="573"/>
      <c r="K35" s="574"/>
      <c r="L35" s="575">
        <v>0</v>
      </c>
      <c r="M35" s="576">
        <v>0</v>
      </c>
    </row>
    <row r="36" spans="1:37" s="536" customFormat="1" ht="25.5">
      <c r="A36" s="157"/>
      <c r="B36" s="157"/>
      <c r="C36" s="586" t="s">
        <v>388</v>
      </c>
      <c r="D36" s="572"/>
      <c r="E36" s="573"/>
      <c r="F36" s="573"/>
      <c r="G36" s="574"/>
      <c r="H36" s="572"/>
      <c r="I36" s="573"/>
      <c r="J36" s="573"/>
      <c r="K36" s="574"/>
      <c r="L36" s="575">
        <v>0</v>
      </c>
      <c r="M36" s="576">
        <v>0</v>
      </c>
    </row>
    <row r="37" spans="1:37" s="536" customFormat="1" ht="38.25">
      <c r="A37" s="157"/>
      <c r="B37" s="157"/>
      <c r="C37" s="586" t="s">
        <v>389</v>
      </c>
      <c r="D37" s="587"/>
      <c r="E37" s="588"/>
      <c r="F37" s="588"/>
      <c r="G37" s="589"/>
      <c r="H37" s="587"/>
      <c r="I37" s="588"/>
      <c r="J37" s="588"/>
      <c r="K37" s="589"/>
      <c r="L37" s="590" t="s">
        <v>1013</v>
      </c>
      <c r="M37" s="591" t="s">
        <v>1013</v>
      </c>
    </row>
    <row r="38" spans="1:37" s="536" customFormat="1" ht="25.5">
      <c r="A38" s="157"/>
      <c r="B38" s="157"/>
      <c r="C38" s="586" t="s">
        <v>390</v>
      </c>
      <c r="D38" s="572"/>
      <c r="E38" s="573"/>
      <c r="F38" s="573"/>
      <c r="G38" s="574"/>
      <c r="H38" s="572"/>
      <c r="I38" s="573"/>
      <c r="J38" s="573"/>
      <c r="K38" s="574"/>
      <c r="L38" s="575">
        <v>0</v>
      </c>
      <c r="M38" s="576">
        <v>0</v>
      </c>
    </row>
    <row r="39" spans="1:37" s="536" customFormat="1" ht="26.25" thickBot="1">
      <c r="A39" s="157"/>
      <c r="B39" s="157"/>
      <c r="C39" s="592" t="s">
        <v>391</v>
      </c>
      <c r="D39" s="593"/>
      <c r="E39" s="594"/>
      <c r="F39" s="594"/>
      <c r="G39" s="595"/>
      <c r="H39" s="593"/>
      <c r="I39" s="594"/>
      <c r="J39" s="594"/>
      <c r="K39" s="595"/>
      <c r="L39" s="596">
        <v>0</v>
      </c>
      <c r="M39" s="597">
        <v>0</v>
      </c>
    </row>
    <row r="41" spans="1:37" ht="15.75" customHeight="1">
      <c r="B41" s="157" t="s">
        <v>392</v>
      </c>
    </row>
    <row r="42" spans="1:37" ht="13.5" thickBot="1"/>
    <row r="43" spans="1:37" ht="26.25" thickBot="1">
      <c r="B43" s="598"/>
      <c r="C43" s="1520" t="s">
        <v>393</v>
      </c>
      <c r="D43" s="1521"/>
      <c r="E43" s="1521"/>
      <c r="F43" s="1521"/>
      <c r="G43" s="1521"/>
      <c r="H43" s="1521"/>
      <c r="I43" s="1521"/>
      <c r="J43" s="1521"/>
      <c r="K43" s="1522"/>
      <c r="L43" s="1515" t="s">
        <v>394</v>
      </c>
      <c r="M43" s="1523"/>
      <c r="N43" s="1523"/>
      <c r="O43" s="1523"/>
      <c r="P43" s="1524"/>
      <c r="Q43" s="1515" t="s">
        <v>395</v>
      </c>
      <c r="R43" s="1523"/>
      <c r="S43" s="1523"/>
      <c r="T43" s="1523"/>
      <c r="U43" s="1524"/>
      <c r="V43" s="1505" t="s">
        <v>396</v>
      </c>
      <c r="W43" s="1506"/>
      <c r="X43" s="1506"/>
      <c r="Y43" s="1506"/>
      <c r="Z43" s="1506"/>
      <c r="AA43" s="1506"/>
      <c r="AB43" s="1506"/>
      <c r="AC43" s="1506"/>
      <c r="AD43" s="1506"/>
      <c r="AE43" s="1506"/>
      <c r="AF43" s="1506"/>
      <c r="AG43" s="1506"/>
      <c r="AH43" s="1506"/>
      <c r="AI43" s="1507"/>
      <c r="AJ43" s="1508" t="s">
        <v>397</v>
      </c>
      <c r="AK43" s="599" t="s">
        <v>398</v>
      </c>
    </row>
    <row r="44" spans="1:37" ht="78.75" customHeight="1">
      <c r="B44" s="600"/>
      <c r="C44" s="601" t="s">
        <v>399</v>
      </c>
      <c r="D44" s="602" t="s">
        <v>400</v>
      </c>
      <c r="E44" s="602" t="s">
        <v>401</v>
      </c>
      <c r="F44" s="602" t="s">
        <v>402</v>
      </c>
      <c r="G44" s="602" t="s">
        <v>403</v>
      </c>
      <c r="H44" s="602" t="s">
        <v>404</v>
      </c>
      <c r="I44" s="602" t="s">
        <v>405</v>
      </c>
      <c r="J44" s="602" t="s">
        <v>406</v>
      </c>
      <c r="K44" s="603" t="s">
        <v>407</v>
      </c>
      <c r="L44" s="509" t="s">
        <v>99</v>
      </c>
      <c r="M44" s="127" t="s">
        <v>100</v>
      </c>
      <c r="N44" s="127" t="s">
        <v>101</v>
      </c>
      <c r="O44" s="127" t="s">
        <v>102</v>
      </c>
      <c r="P44" s="128" t="s">
        <v>64</v>
      </c>
      <c r="Q44" s="126" t="s">
        <v>213</v>
      </c>
      <c r="R44" s="127" t="s">
        <v>214</v>
      </c>
      <c r="S44" s="127" t="s">
        <v>215</v>
      </c>
      <c r="T44" s="127" t="s">
        <v>216</v>
      </c>
      <c r="U44" s="128" t="s">
        <v>217</v>
      </c>
      <c r="V44" s="1510" t="s">
        <v>408</v>
      </c>
      <c r="W44" s="1511"/>
      <c r="X44" s="1511"/>
      <c r="Y44" s="1511"/>
      <c r="Z44" s="1511"/>
      <c r="AA44" s="1511"/>
      <c r="AB44" s="1511"/>
      <c r="AC44" s="1511"/>
      <c r="AD44" s="1511"/>
      <c r="AE44" s="1511"/>
      <c r="AF44" s="123" t="s">
        <v>409</v>
      </c>
      <c r="AG44" s="123" t="s">
        <v>410</v>
      </c>
      <c r="AH44" s="123" t="s">
        <v>411</v>
      </c>
      <c r="AI44" s="123" t="s">
        <v>412</v>
      </c>
      <c r="AJ44" s="1509"/>
      <c r="AK44" s="604" t="s">
        <v>413</v>
      </c>
    </row>
    <row r="45" spans="1:37" ht="15.75" customHeight="1" thickBot="1">
      <c r="B45" s="605"/>
      <c r="C45" s="510" t="s">
        <v>414</v>
      </c>
      <c r="D45" s="606" t="s">
        <v>415</v>
      </c>
      <c r="E45" s="606" t="s">
        <v>415</v>
      </c>
      <c r="F45" s="511" t="s">
        <v>416</v>
      </c>
      <c r="G45" s="607" t="s">
        <v>417</v>
      </c>
      <c r="H45" s="607" t="s">
        <v>417</v>
      </c>
      <c r="I45" s="511" t="s">
        <v>418</v>
      </c>
      <c r="J45" s="511" t="s">
        <v>366</v>
      </c>
      <c r="K45" s="512" t="s">
        <v>366</v>
      </c>
      <c r="L45" s="517" t="s">
        <v>366</v>
      </c>
      <c r="M45" s="515" t="s">
        <v>366</v>
      </c>
      <c r="N45" s="515" t="s">
        <v>366</v>
      </c>
      <c r="O45" s="515" t="s">
        <v>366</v>
      </c>
      <c r="P45" s="516" t="s">
        <v>366</v>
      </c>
      <c r="Q45" s="514" t="s">
        <v>366</v>
      </c>
      <c r="R45" s="515" t="s">
        <v>366</v>
      </c>
      <c r="S45" s="515" t="s">
        <v>366</v>
      </c>
      <c r="T45" s="515" t="s">
        <v>366</v>
      </c>
      <c r="U45" s="516" t="s">
        <v>366</v>
      </c>
      <c r="V45" s="608" t="s">
        <v>99</v>
      </c>
      <c r="W45" s="609" t="s">
        <v>100</v>
      </c>
      <c r="X45" s="609" t="s">
        <v>101</v>
      </c>
      <c r="Y45" s="609" t="s">
        <v>102</v>
      </c>
      <c r="Z45" s="609" t="s">
        <v>64</v>
      </c>
      <c r="AA45" s="609" t="s">
        <v>213</v>
      </c>
      <c r="AB45" s="609" t="s">
        <v>214</v>
      </c>
      <c r="AC45" s="609" t="s">
        <v>215</v>
      </c>
      <c r="AD45" s="609" t="s">
        <v>216</v>
      </c>
      <c r="AE45" s="610" t="s">
        <v>217</v>
      </c>
      <c r="AF45" s="611" t="s">
        <v>418</v>
      </c>
      <c r="AG45" s="612" t="s">
        <v>418</v>
      </c>
      <c r="AH45" s="612" t="s">
        <v>418</v>
      </c>
      <c r="AI45" s="612" t="s">
        <v>419</v>
      </c>
      <c r="AJ45" s="613" t="s">
        <v>420</v>
      </c>
      <c r="AK45" s="614" t="s">
        <v>421</v>
      </c>
    </row>
    <row r="46" spans="1:37" s="615" customFormat="1" ht="15.75" customHeight="1">
      <c r="B46" s="616">
        <v>1</v>
      </c>
      <c r="C46" s="617" t="s">
        <v>1019</v>
      </c>
      <c r="D46" s="617" t="s">
        <v>1020</v>
      </c>
      <c r="E46" s="617" t="s">
        <v>1021</v>
      </c>
      <c r="F46" s="617" t="s">
        <v>1022</v>
      </c>
      <c r="G46" s="618" t="s">
        <v>1023</v>
      </c>
      <c r="H46" s="618" t="s">
        <v>64</v>
      </c>
      <c r="I46" s="618">
        <v>22</v>
      </c>
      <c r="J46" s="619">
        <v>1.003892608958838</v>
      </c>
      <c r="K46" s="620">
        <v>0.28218857727500002</v>
      </c>
      <c r="L46" s="619">
        <v>0</v>
      </c>
      <c r="M46" s="621">
        <v>0</v>
      </c>
      <c r="N46" s="621">
        <v>0</v>
      </c>
      <c r="O46" s="621">
        <v>0</v>
      </c>
      <c r="P46" s="622">
        <v>0.69</v>
      </c>
      <c r="Q46" s="621">
        <v>0.28218857727500002</v>
      </c>
      <c r="R46" s="623">
        <v>0</v>
      </c>
      <c r="S46" s="623">
        <v>0</v>
      </c>
      <c r="T46" s="623">
        <v>0</v>
      </c>
      <c r="U46" s="622">
        <v>0</v>
      </c>
      <c r="V46" s="624">
        <v>167.9988825474085</v>
      </c>
      <c r="W46" s="625">
        <v>159.90248214457952</v>
      </c>
      <c r="X46" s="625">
        <v>164.29789009229967</v>
      </c>
      <c r="Y46" s="625">
        <v>166.09959577371671</v>
      </c>
      <c r="Z46" s="626">
        <v>168.35405385332757</v>
      </c>
      <c r="AA46" s="624">
        <v>170.14434201527826</v>
      </c>
      <c r="AB46" s="625">
        <v>171.96102003915291</v>
      </c>
      <c r="AC46" s="625">
        <v>173.80455332336521</v>
      </c>
      <c r="AD46" s="625">
        <v>175.67541610910919</v>
      </c>
      <c r="AE46" s="626">
        <v>177.57409165335665</v>
      </c>
      <c r="AF46" s="621">
        <v>182</v>
      </c>
      <c r="AG46" s="623">
        <v>182</v>
      </c>
      <c r="AH46" s="623">
        <v>164.29789009229967</v>
      </c>
      <c r="AI46" s="627" t="s">
        <v>1024</v>
      </c>
      <c r="AJ46" s="628" t="s">
        <v>1025</v>
      </c>
      <c r="AK46" s="629" t="s">
        <v>1026</v>
      </c>
    </row>
    <row r="47" spans="1:37" s="615" customFormat="1" ht="15.75" customHeight="1">
      <c r="B47" s="630">
        <v>2</v>
      </c>
      <c r="C47" s="617" t="s">
        <v>1027</v>
      </c>
      <c r="D47" s="617" t="s">
        <v>1028</v>
      </c>
      <c r="E47" s="617" t="s">
        <v>1029</v>
      </c>
      <c r="F47" s="617" t="s">
        <v>1030</v>
      </c>
      <c r="G47" s="618" t="s">
        <v>1031</v>
      </c>
      <c r="H47" s="618" t="s">
        <v>1032</v>
      </c>
      <c r="I47" s="618">
        <v>120</v>
      </c>
      <c r="J47" s="619">
        <v>0.37595000000000001</v>
      </c>
      <c r="K47" s="620">
        <v>0.312226475</v>
      </c>
      <c r="L47" s="619">
        <v>0</v>
      </c>
      <c r="M47" s="621">
        <v>0</v>
      </c>
      <c r="N47" s="621">
        <v>0</v>
      </c>
      <c r="O47" s="621">
        <v>0</v>
      </c>
      <c r="P47" s="622">
        <v>6.3723525000000003E-2</v>
      </c>
      <c r="Q47" s="621">
        <v>0.312226475</v>
      </c>
      <c r="R47" s="623">
        <v>0</v>
      </c>
      <c r="S47" s="623">
        <v>0</v>
      </c>
      <c r="T47" s="623">
        <v>0</v>
      </c>
      <c r="U47" s="622">
        <v>0</v>
      </c>
      <c r="V47" s="619">
        <v>264.01100000000002</v>
      </c>
      <c r="W47" s="623">
        <v>247.98</v>
      </c>
      <c r="X47" s="623">
        <v>242.5</v>
      </c>
      <c r="Y47" s="623">
        <v>245.43726139067348</v>
      </c>
      <c r="Z47" s="622">
        <v>247.96934076784393</v>
      </c>
      <c r="AA47" s="619">
        <v>249.87955869703285</v>
      </c>
      <c r="AB47" s="623">
        <v>251.82272719596747</v>
      </c>
      <c r="AC47" s="623">
        <v>253.79945849041604</v>
      </c>
      <c r="AD47" s="623">
        <v>255.81037661156685</v>
      </c>
      <c r="AE47" s="622">
        <v>257.85611762789034</v>
      </c>
      <c r="AF47" s="621">
        <v>312</v>
      </c>
      <c r="AG47" s="623">
        <v>312</v>
      </c>
      <c r="AH47" s="623">
        <v>242.5</v>
      </c>
      <c r="AI47" s="627" t="s">
        <v>1024</v>
      </c>
      <c r="AJ47" s="628" t="s">
        <v>1033</v>
      </c>
      <c r="AK47" s="629" t="s">
        <v>1034</v>
      </c>
    </row>
    <row r="48" spans="1:37" s="615" customFormat="1" ht="15.75" customHeight="1">
      <c r="B48" s="630">
        <v>3</v>
      </c>
      <c r="C48" s="617" t="s">
        <v>1035</v>
      </c>
      <c r="D48" s="617" t="s">
        <v>1020</v>
      </c>
      <c r="E48" s="617">
        <v>66</v>
      </c>
      <c r="F48" s="617" t="s">
        <v>1022</v>
      </c>
      <c r="G48" s="618" t="s">
        <v>213</v>
      </c>
      <c r="H48" s="618" t="s">
        <v>1036</v>
      </c>
      <c r="I48" s="618">
        <v>54</v>
      </c>
      <c r="J48" s="619">
        <v>6.1109900000000001</v>
      </c>
      <c r="K48" s="620">
        <v>4.9862299999999999</v>
      </c>
      <c r="L48" s="619">
        <v>0</v>
      </c>
      <c r="M48" s="621">
        <v>0</v>
      </c>
      <c r="N48" s="621">
        <v>0</v>
      </c>
      <c r="O48" s="621">
        <v>0</v>
      </c>
      <c r="P48" s="622">
        <v>0</v>
      </c>
      <c r="Q48" s="621">
        <v>0.34158250500000004</v>
      </c>
      <c r="R48" s="623">
        <v>1.54141251</v>
      </c>
      <c r="S48" s="623">
        <v>1.5499949849999999</v>
      </c>
      <c r="T48" s="623">
        <v>0.29458000000000001</v>
      </c>
      <c r="U48" s="622">
        <v>1.2586599999999999</v>
      </c>
      <c r="V48" s="619">
        <v>93.43</v>
      </c>
      <c r="W48" s="623">
        <v>91.721281250000004</v>
      </c>
      <c r="X48" s="623">
        <v>87.022000000000006</v>
      </c>
      <c r="Y48" s="623">
        <v>88.488943129944673</v>
      </c>
      <c r="Z48" s="622">
        <v>89.983857638137934</v>
      </c>
      <c r="AA48" s="619">
        <v>91.507296114723061</v>
      </c>
      <c r="AB48" s="623">
        <v>93.059822167458961</v>
      </c>
      <c r="AC48" s="623">
        <v>94.642010641901805</v>
      </c>
      <c r="AD48" s="623">
        <v>96.254447845988977</v>
      </c>
      <c r="AE48" s="622">
        <v>97.897731779114139</v>
      </c>
      <c r="AF48" s="621">
        <v>90</v>
      </c>
      <c r="AG48" s="623">
        <v>90</v>
      </c>
      <c r="AH48" s="623">
        <v>87.022000000000006</v>
      </c>
      <c r="AI48" s="627" t="s">
        <v>1024</v>
      </c>
      <c r="AJ48" s="628" t="s">
        <v>1025</v>
      </c>
      <c r="AK48" s="629" t="s">
        <v>1037</v>
      </c>
    </row>
    <row r="49" spans="2:37" s="615" customFormat="1" ht="15.75" customHeight="1">
      <c r="B49" s="630">
        <v>4</v>
      </c>
      <c r="C49" s="617" t="s">
        <v>1038</v>
      </c>
      <c r="D49" s="617" t="s">
        <v>1020</v>
      </c>
      <c r="E49" s="617" t="s">
        <v>1039</v>
      </c>
      <c r="F49" s="617" t="s">
        <v>1040</v>
      </c>
      <c r="G49" s="618" t="s">
        <v>1041</v>
      </c>
      <c r="H49" s="618" t="s">
        <v>1042</v>
      </c>
      <c r="I49" s="618">
        <v>240</v>
      </c>
      <c r="J49" s="619">
        <v>2.0764800000000001</v>
      </c>
      <c r="K49" s="620">
        <v>2.0764800000000001</v>
      </c>
      <c r="L49" s="619">
        <v>0</v>
      </c>
      <c r="M49" s="621">
        <v>0</v>
      </c>
      <c r="N49" s="621">
        <v>0</v>
      </c>
      <c r="O49" s="621">
        <v>0</v>
      </c>
      <c r="P49" s="622">
        <v>0</v>
      </c>
      <c r="Q49" s="621">
        <v>0</v>
      </c>
      <c r="R49" s="623">
        <v>0.51912000000000003</v>
      </c>
      <c r="S49" s="623">
        <v>1.5573600000000001</v>
      </c>
      <c r="T49" s="623">
        <v>0</v>
      </c>
      <c r="U49" s="622">
        <v>0</v>
      </c>
      <c r="V49" s="619">
        <v>327</v>
      </c>
      <c r="W49" s="623">
        <v>318</v>
      </c>
      <c r="X49" s="623">
        <v>323</v>
      </c>
      <c r="Y49" s="623">
        <v>325</v>
      </c>
      <c r="Z49" s="622">
        <v>329</v>
      </c>
      <c r="AA49" s="619">
        <v>332</v>
      </c>
      <c r="AB49" s="623">
        <v>336</v>
      </c>
      <c r="AC49" s="623">
        <v>339</v>
      </c>
      <c r="AD49" s="623">
        <v>343</v>
      </c>
      <c r="AE49" s="622">
        <v>346</v>
      </c>
      <c r="AF49" s="621">
        <v>282</v>
      </c>
      <c r="AG49" s="623">
        <v>282</v>
      </c>
      <c r="AH49" s="623">
        <v>323</v>
      </c>
      <c r="AI49" s="627" t="s">
        <v>1024</v>
      </c>
      <c r="AJ49" s="628" t="s">
        <v>1033</v>
      </c>
      <c r="AK49" s="629" t="s">
        <v>1043</v>
      </c>
    </row>
    <row r="50" spans="2:37" s="615" customFormat="1" ht="15.75" customHeight="1">
      <c r="B50" s="630">
        <v>5</v>
      </c>
      <c r="C50" s="617" t="s">
        <v>1044</v>
      </c>
      <c r="D50" s="617">
        <v>132</v>
      </c>
      <c r="E50" s="617">
        <v>33</v>
      </c>
      <c r="F50" s="617" t="s">
        <v>1030</v>
      </c>
      <c r="G50" s="618" t="s">
        <v>1041</v>
      </c>
      <c r="H50" s="618" t="s">
        <v>1045</v>
      </c>
      <c r="I50" s="618">
        <v>108</v>
      </c>
      <c r="J50" s="619">
        <v>5.3663000000000007</v>
      </c>
      <c r="K50" s="620">
        <v>5.3663000000000007</v>
      </c>
      <c r="L50" s="619">
        <v>0</v>
      </c>
      <c r="M50" s="621">
        <v>0</v>
      </c>
      <c r="N50" s="621">
        <v>0</v>
      </c>
      <c r="O50" s="621">
        <v>0</v>
      </c>
      <c r="P50" s="622">
        <v>0</v>
      </c>
      <c r="Q50" s="621">
        <v>0.21920974999999998</v>
      </c>
      <c r="R50" s="623">
        <v>1.2252622500000001</v>
      </c>
      <c r="S50" s="623">
        <v>2.2576312500000002</v>
      </c>
      <c r="T50" s="623">
        <v>1.6641967500000001</v>
      </c>
      <c r="U50" s="622">
        <v>0</v>
      </c>
      <c r="V50" s="619">
        <v>117.65</v>
      </c>
      <c r="W50" s="623">
        <v>107.42367968800001</v>
      </c>
      <c r="X50" s="623">
        <v>116.20799218800001</v>
      </c>
      <c r="Y50" s="623">
        <v>111.49621797852178</v>
      </c>
      <c r="Z50" s="622">
        <v>112.74093481086329</v>
      </c>
      <c r="AA50" s="619">
        <v>114.0056199422155</v>
      </c>
      <c r="AB50" s="623">
        <v>115.29064810837042</v>
      </c>
      <c r="AC50" s="623">
        <v>116.596401416685</v>
      </c>
      <c r="AD50" s="623">
        <v>117.92326949289661</v>
      </c>
      <c r="AE50" s="622">
        <v>119.27164963087186</v>
      </c>
      <c r="AF50" s="621">
        <v>108</v>
      </c>
      <c r="AG50" s="623">
        <v>108</v>
      </c>
      <c r="AH50" s="623">
        <v>116.20799218800001</v>
      </c>
      <c r="AI50" s="627" t="s">
        <v>1024</v>
      </c>
      <c r="AJ50" s="628" t="s">
        <v>1025</v>
      </c>
      <c r="AK50" s="629" t="s">
        <v>1046</v>
      </c>
    </row>
    <row r="51" spans="2:37" s="615" customFormat="1" ht="15.75" customHeight="1">
      <c r="B51" s="630">
        <v>6</v>
      </c>
      <c r="C51" s="617" t="s">
        <v>1047</v>
      </c>
      <c r="D51" s="617">
        <v>132</v>
      </c>
      <c r="E51" s="617">
        <v>33</v>
      </c>
      <c r="F51" s="617" t="s">
        <v>1030</v>
      </c>
      <c r="G51" s="618" t="s">
        <v>1048</v>
      </c>
      <c r="H51" s="618" t="s">
        <v>217</v>
      </c>
      <c r="I51" s="618">
        <v>36</v>
      </c>
      <c r="J51" s="619">
        <v>3.59985</v>
      </c>
      <c r="K51" s="620">
        <v>2.24990625</v>
      </c>
      <c r="L51" s="619">
        <v>0</v>
      </c>
      <c r="M51" s="621">
        <v>0</v>
      </c>
      <c r="N51" s="621">
        <v>0</v>
      </c>
      <c r="O51" s="621">
        <v>0</v>
      </c>
      <c r="P51" s="622">
        <v>0</v>
      </c>
      <c r="Q51" s="621">
        <v>0</v>
      </c>
      <c r="R51" s="623">
        <v>0</v>
      </c>
      <c r="S51" s="623">
        <v>0</v>
      </c>
      <c r="T51" s="623">
        <v>0.44998125</v>
      </c>
      <c r="U51" s="622">
        <v>1.799925</v>
      </c>
      <c r="V51" s="619">
        <v>65.39</v>
      </c>
      <c r="W51" s="623">
        <v>63.16</v>
      </c>
      <c r="X51" s="623">
        <v>61.61</v>
      </c>
      <c r="Y51" s="623">
        <v>61.918049999999987</v>
      </c>
      <c r="Z51" s="622">
        <v>62.227640249999986</v>
      </c>
      <c r="AA51" s="619">
        <v>62.538778451249975</v>
      </c>
      <c r="AB51" s="623">
        <v>62.851472343506217</v>
      </c>
      <c r="AC51" s="623">
        <v>63.165729705223747</v>
      </c>
      <c r="AD51" s="623">
        <v>63.481558353749868</v>
      </c>
      <c r="AE51" s="622">
        <v>63.798966145518598</v>
      </c>
      <c r="AF51" s="621">
        <v>72</v>
      </c>
      <c r="AG51" s="623">
        <v>72</v>
      </c>
      <c r="AH51" s="623">
        <v>61.61</v>
      </c>
      <c r="AI51" s="627" t="s">
        <v>1024</v>
      </c>
      <c r="AJ51" s="628" t="s">
        <v>1025</v>
      </c>
      <c r="AK51" s="629" t="s">
        <v>1049</v>
      </c>
    </row>
    <row r="52" spans="2:37" s="615" customFormat="1" ht="15.75" customHeight="1">
      <c r="B52" s="630">
        <v>7</v>
      </c>
      <c r="C52" s="617" t="s">
        <v>1050</v>
      </c>
      <c r="D52" s="617">
        <v>132</v>
      </c>
      <c r="E52" s="617">
        <v>33</v>
      </c>
      <c r="F52" s="617" t="s">
        <v>1030</v>
      </c>
      <c r="G52" s="618" t="s">
        <v>102</v>
      </c>
      <c r="H52" s="618">
        <v>0</v>
      </c>
      <c r="I52" s="618">
        <v>0</v>
      </c>
      <c r="J52" s="619">
        <v>0</v>
      </c>
      <c r="K52" s="620">
        <v>0</v>
      </c>
      <c r="L52" s="619">
        <v>0</v>
      </c>
      <c r="M52" s="621">
        <v>0</v>
      </c>
      <c r="N52" s="621">
        <v>0</v>
      </c>
      <c r="O52" s="621">
        <v>0</v>
      </c>
      <c r="P52" s="622">
        <v>0</v>
      </c>
      <c r="Q52" s="621">
        <v>0</v>
      </c>
      <c r="R52" s="623">
        <v>0</v>
      </c>
      <c r="S52" s="623">
        <v>0</v>
      </c>
      <c r="T52" s="623">
        <v>0</v>
      </c>
      <c r="U52" s="622">
        <v>0</v>
      </c>
      <c r="V52" s="619">
        <v>110.129875</v>
      </c>
      <c r="W52" s="623">
        <v>109.30751562499999</v>
      </c>
      <c r="X52" s="623">
        <v>105</v>
      </c>
      <c r="Y52" s="623">
        <v>111.0880904072486</v>
      </c>
      <c r="Z52" s="622">
        <v>105.28503615202747</v>
      </c>
      <c r="AA52" s="619">
        <v>107.39073687506803</v>
      </c>
      <c r="AB52" s="623">
        <v>109.53855161256938</v>
      </c>
      <c r="AC52" s="623">
        <v>111.72932264482078</v>
      </c>
      <c r="AD52" s="623">
        <v>113.96390909771719</v>
      </c>
      <c r="AE52" s="622">
        <v>116.24318727967153</v>
      </c>
      <c r="AF52" s="621">
        <v>108</v>
      </c>
      <c r="AG52" s="623">
        <v>108</v>
      </c>
      <c r="AH52" s="623">
        <v>105</v>
      </c>
      <c r="AI52" s="627" t="s">
        <v>1024</v>
      </c>
      <c r="AJ52" s="628" t="s">
        <v>1025</v>
      </c>
      <c r="AK52" s="629" t="s">
        <v>1051</v>
      </c>
    </row>
    <row r="53" spans="2:37" s="615" customFormat="1" ht="15.75" customHeight="1">
      <c r="B53" s="630">
        <v>8</v>
      </c>
      <c r="C53" s="617" t="s">
        <v>1052</v>
      </c>
      <c r="D53" s="617">
        <v>132</v>
      </c>
      <c r="E53" s="617">
        <v>11</v>
      </c>
      <c r="F53" s="617" t="s">
        <v>1030</v>
      </c>
      <c r="G53" s="618" t="s">
        <v>1041</v>
      </c>
      <c r="H53" s="618" t="s">
        <v>64</v>
      </c>
      <c r="I53" s="618">
        <v>40</v>
      </c>
      <c r="J53" s="619">
        <v>6.2525017947941883</v>
      </c>
      <c r="K53" s="620">
        <v>3.4826767519499997</v>
      </c>
      <c r="L53" s="619">
        <v>0</v>
      </c>
      <c r="M53" s="621">
        <v>0</v>
      </c>
      <c r="N53" s="621">
        <v>0</v>
      </c>
      <c r="O53" s="621">
        <v>0.03</v>
      </c>
      <c r="P53" s="622">
        <v>2.87</v>
      </c>
      <c r="Q53" s="621">
        <v>3.4826767519499997</v>
      </c>
      <c r="R53" s="623">
        <v>0</v>
      </c>
      <c r="S53" s="623">
        <v>0</v>
      </c>
      <c r="T53" s="623">
        <v>0</v>
      </c>
      <c r="U53" s="622">
        <v>0</v>
      </c>
      <c r="V53" s="619">
        <v>43.712898437999996</v>
      </c>
      <c r="W53" s="623">
        <v>40.985999999999997</v>
      </c>
      <c r="X53" s="623">
        <v>38.323</v>
      </c>
      <c r="Y53" s="623">
        <v>39.759460000000004</v>
      </c>
      <c r="Z53" s="622">
        <v>40.554649200000007</v>
      </c>
      <c r="AA53" s="619">
        <v>41.365742184000005</v>
      </c>
      <c r="AB53" s="623">
        <v>42.193057027680005</v>
      </c>
      <c r="AC53" s="623">
        <v>43.036918168233605</v>
      </c>
      <c r="AD53" s="623">
        <v>43.89765653159828</v>
      </c>
      <c r="AE53" s="622">
        <v>44.775609662230245</v>
      </c>
      <c r="AF53" s="621">
        <v>36</v>
      </c>
      <c r="AG53" s="623">
        <v>36</v>
      </c>
      <c r="AH53" s="623">
        <v>38.323</v>
      </c>
      <c r="AI53" s="627" t="s">
        <v>1024</v>
      </c>
      <c r="AJ53" s="628" t="s">
        <v>1025</v>
      </c>
      <c r="AK53" s="629" t="s">
        <v>1053</v>
      </c>
    </row>
    <row r="54" spans="2:37" s="615" customFormat="1" ht="15.75" customHeight="1">
      <c r="B54" s="630">
        <v>9</v>
      </c>
      <c r="C54" s="617" t="s">
        <v>1054</v>
      </c>
      <c r="D54" s="617">
        <v>132</v>
      </c>
      <c r="E54" s="617">
        <v>33</v>
      </c>
      <c r="F54" s="617" t="s">
        <v>1055</v>
      </c>
      <c r="G54" s="618" t="s">
        <v>1056</v>
      </c>
      <c r="H54" s="618" t="s">
        <v>1057</v>
      </c>
      <c r="I54" s="618">
        <v>40</v>
      </c>
      <c r="J54" s="619">
        <v>2.9004499999999998</v>
      </c>
      <c r="K54" s="620">
        <v>2.7327000000000004</v>
      </c>
      <c r="L54" s="619">
        <v>0</v>
      </c>
      <c r="M54" s="621">
        <v>0</v>
      </c>
      <c r="N54" s="621">
        <v>0</v>
      </c>
      <c r="O54" s="621">
        <v>0</v>
      </c>
      <c r="P54" s="622">
        <v>0.11</v>
      </c>
      <c r="Q54" s="621">
        <v>0.80399624999999997</v>
      </c>
      <c r="R54" s="623">
        <v>1.00087875</v>
      </c>
      <c r="S54" s="623">
        <v>0.91623750000000004</v>
      </c>
      <c r="T54" s="623">
        <v>1.1587500000000001E-2</v>
      </c>
      <c r="U54" s="622">
        <v>0</v>
      </c>
      <c r="V54" s="619">
        <v>55</v>
      </c>
      <c r="W54" s="623">
        <v>61</v>
      </c>
      <c r="X54" s="623">
        <v>59.33</v>
      </c>
      <c r="Y54" s="623">
        <v>59.902672433726011</v>
      </c>
      <c r="Z54" s="622">
        <v>60.88675112803142</v>
      </c>
      <c r="AA54" s="619">
        <v>61.890511396222941</v>
      </c>
      <c r="AB54" s="623">
        <v>62.914346869778285</v>
      </c>
      <c r="AC54" s="623">
        <v>63.958659052804734</v>
      </c>
      <c r="AD54" s="623">
        <v>65.02385747949171</v>
      </c>
      <c r="AE54" s="622">
        <v>66.110359874712444</v>
      </c>
      <c r="AF54" s="621">
        <v>68</v>
      </c>
      <c r="AG54" s="623">
        <v>68</v>
      </c>
      <c r="AH54" s="623">
        <v>59.33</v>
      </c>
      <c r="AI54" s="627" t="s">
        <v>1024</v>
      </c>
      <c r="AJ54" s="628" t="s">
        <v>1025</v>
      </c>
      <c r="AK54" s="629" t="s">
        <v>1058</v>
      </c>
    </row>
    <row r="55" spans="2:37" s="615" customFormat="1" ht="15.75" customHeight="1">
      <c r="B55" s="630">
        <v>10</v>
      </c>
      <c r="C55" s="617" t="s">
        <v>1059</v>
      </c>
      <c r="D55" s="617">
        <v>66</v>
      </c>
      <c r="E55" s="617">
        <v>11</v>
      </c>
      <c r="F55" s="617" t="s">
        <v>1030</v>
      </c>
      <c r="G55" s="618" t="s">
        <v>1041</v>
      </c>
      <c r="H55" s="618" t="s">
        <v>215</v>
      </c>
      <c r="I55" s="618">
        <v>30</v>
      </c>
      <c r="J55" s="619">
        <v>5.9690678449999997</v>
      </c>
      <c r="K55" s="620">
        <v>5.9690678449999997</v>
      </c>
      <c r="L55" s="619">
        <v>0</v>
      </c>
      <c r="M55" s="621">
        <v>0</v>
      </c>
      <c r="N55" s="621">
        <v>0</v>
      </c>
      <c r="O55" s="621">
        <v>0</v>
      </c>
      <c r="P55" s="622">
        <v>0</v>
      </c>
      <c r="Q55" s="621">
        <v>0</v>
      </c>
      <c r="R55" s="623">
        <v>0.68526289468750001</v>
      </c>
      <c r="S55" s="623">
        <v>2.8627927506250002</v>
      </c>
      <c r="T55" s="623">
        <v>2.4210121996875</v>
      </c>
      <c r="U55" s="622">
        <v>0</v>
      </c>
      <c r="V55" s="619">
        <v>25.917999999999999</v>
      </c>
      <c r="W55" s="623">
        <v>24.352320312</v>
      </c>
      <c r="X55" s="623">
        <v>24.895900390999998</v>
      </c>
      <c r="Y55" s="623">
        <v>25.393818398819999</v>
      </c>
      <c r="Z55" s="622">
        <v>25.9016947667964</v>
      </c>
      <c r="AA55" s="619">
        <v>26.419728662132329</v>
      </c>
      <c r="AB55" s="623">
        <v>26.948123235374975</v>
      </c>
      <c r="AC55" s="623">
        <v>27.487085700082474</v>
      </c>
      <c r="AD55" s="623">
        <v>28.036827414084126</v>
      </c>
      <c r="AE55" s="622">
        <v>28.597563962365808</v>
      </c>
      <c r="AF55" s="621">
        <v>24</v>
      </c>
      <c r="AG55" s="623">
        <v>24</v>
      </c>
      <c r="AH55" s="623">
        <v>24.895900390999998</v>
      </c>
      <c r="AI55" s="627" t="s">
        <v>1024</v>
      </c>
      <c r="AJ55" s="628" t="s">
        <v>1025</v>
      </c>
      <c r="AK55" s="629" t="s">
        <v>1060</v>
      </c>
    </row>
    <row r="56" spans="2:37" s="615" customFormat="1" ht="15.75" customHeight="1">
      <c r="B56" s="630">
        <v>11</v>
      </c>
      <c r="C56" s="617" t="s">
        <v>1061</v>
      </c>
      <c r="D56" s="617">
        <v>66</v>
      </c>
      <c r="E56" s="617">
        <v>11</v>
      </c>
      <c r="F56" s="617" t="s">
        <v>1022</v>
      </c>
      <c r="G56" s="618" t="s">
        <v>1041</v>
      </c>
      <c r="H56" s="618" t="s">
        <v>217</v>
      </c>
      <c r="I56" s="618">
        <v>6</v>
      </c>
      <c r="J56" s="619">
        <v>0.83018000000000003</v>
      </c>
      <c r="K56" s="620">
        <v>0.5188625</v>
      </c>
      <c r="L56" s="619">
        <v>0</v>
      </c>
      <c r="M56" s="621">
        <v>0</v>
      </c>
      <c r="N56" s="621">
        <v>0</v>
      </c>
      <c r="O56" s="621">
        <v>0</v>
      </c>
      <c r="P56" s="622">
        <v>0</v>
      </c>
      <c r="Q56" s="621">
        <v>0</v>
      </c>
      <c r="R56" s="623">
        <v>0</v>
      </c>
      <c r="S56" s="623">
        <v>0</v>
      </c>
      <c r="T56" s="623">
        <v>0.1037725</v>
      </c>
      <c r="U56" s="622">
        <v>0.41509000000000001</v>
      </c>
      <c r="V56" s="619">
        <v>28.797000000000001</v>
      </c>
      <c r="W56" s="623">
        <v>27.601701172000002</v>
      </c>
      <c r="X56" s="623">
        <v>29.175999999999998</v>
      </c>
      <c r="Y56" s="623">
        <v>29.759519999999998</v>
      </c>
      <c r="Z56" s="622">
        <v>24.354710399999998</v>
      </c>
      <c r="AA56" s="619">
        <v>24.841804608</v>
      </c>
      <c r="AB56" s="623">
        <v>25.338640700159999</v>
      </c>
      <c r="AC56" s="623">
        <v>25.845413514163198</v>
      </c>
      <c r="AD56" s="623">
        <v>26.362321784446461</v>
      </c>
      <c r="AE56" s="622">
        <v>26.889568220135391</v>
      </c>
      <c r="AF56" s="621">
        <v>24</v>
      </c>
      <c r="AG56" s="623">
        <v>24</v>
      </c>
      <c r="AH56" s="623">
        <v>29.175999999999998</v>
      </c>
      <c r="AI56" s="627" t="s">
        <v>1024</v>
      </c>
      <c r="AJ56" s="628" t="s">
        <v>1025</v>
      </c>
      <c r="AK56" s="629" t="s">
        <v>1062</v>
      </c>
    </row>
    <row r="57" spans="2:37" s="615" customFormat="1" ht="15.75" customHeight="1">
      <c r="B57" s="630">
        <v>12</v>
      </c>
      <c r="C57" s="617" t="s">
        <v>1063</v>
      </c>
      <c r="D57" s="617">
        <v>66</v>
      </c>
      <c r="E57" s="617">
        <v>11</v>
      </c>
      <c r="F57" s="617" t="s">
        <v>1030</v>
      </c>
      <c r="G57" s="618" t="s">
        <v>1048</v>
      </c>
      <c r="H57" s="618" t="s">
        <v>215</v>
      </c>
      <c r="I57" s="618">
        <v>30</v>
      </c>
      <c r="J57" s="619">
        <v>5.7497754374999994</v>
      </c>
      <c r="K57" s="620">
        <v>5.7497754374999994</v>
      </c>
      <c r="L57" s="619">
        <v>0</v>
      </c>
      <c r="M57" s="621">
        <v>0</v>
      </c>
      <c r="N57" s="621">
        <v>0</v>
      </c>
      <c r="O57" s="621">
        <v>0</v>
      </c>
      <c r="P57" s="622">
        <v>0</v>
      </c>
      <c r="Q57" s="621">
        <v>0</v>
      </c>
      <c r="R57" s="623">
        <v>0.71872192968749993</v>
      </c>
      <c r="S57" s="623">
        <v>2.8748877187499997</v>
      </c>
      <c r="T57" s="623">
        <v>2.1561657890624999</v>
      </c>
      <c r="U57" s="622">
        <v>0</v>
      </c>
      <c r="V57" s="619">
        <v>21.931999999999999</v>
      </c>
      <c r="W57" s="623">
        <v>22.076000000000001</v>
      </c>
      <c r="X57" s="623">
        <v>21.769599609</v>
      </c>
      <c r="Y57" s="623">
        <v>15.204991601180001</v>
      </c>
      <c r="Z57" s="622">
        <v>15.509091433203603</v>
      </c>
      <c r="AA57" s="619">
        <v>15.819273261867675</v>
      </c>
      <c r="AB57" s="623">
        <v>16.135658727105028</v>
      </c>
      <c r="AC57" s="623">
        <v>16.45837190164713</v>
      </c>
      <c r="AD57" s="623">
        <v>16.787539339680073</v>
      </c>
      <c r="AE57" s="622">
        <v>17.123290126473673</v>
      </c>
      <c r="AF57" s="621">
        <v>24</v>
      </c>
      <c r="AG57" s="623">
        <v>24</v>
      </c>
      <c r="AH57" s="623">
        <v>21.769599609</v>
      </c>
      <c r="AI57" s="627" t="s">
        <v>1024</v>
      </c>
      <c r="AJ57" s="628" t="s">
        <v>1025</v>
      </c>
      <c r="AK57" s="629" t="s">
        <v>1064</v>
      </c>
    </row>
    <row r="58" spans="2:37" s="615" customFormat="1" ht="15.75" customHeight="1">
      <c r="B58" s="630">
        <v>13</v>
      </c>
      <c r="C58" s="617" t="s">
        <v>1065</v>
      </c>
      <c r="D58" s="617">
        <v>33</v>
      </c>
      <c r="E58" s="617">
        <v>11</v>
      </c>
      <c r="F58" s="617" t="s">
        <v>1030</v>
      </c>
      <c r="G58" s="618" t="s">
        <v>1023</v>
      </c>
      <c r="H58" s="618">
        <v>0</v>
      </c>
      <c r="I58" s="618">
        <v>0</v>
      </c>
      <c r="J58" s="619">
        <v>0</v>
      </c>
      <c r="K58" s="620">
        <v>0</v>
      </c>
      <c r="L58" s="619">
        <v>0</v>
      </c>
      <c r="M58" s="621">
        <v>0</v>
      </c>
      <c r="N58" s="621">
        <v>0</v>
      </c>
      <c r="O58" s="621">
        <v>0</v>
      </c>
      <c r="P58" s="622">
        <v>0</v>
      </c>
      <c r="Q58" s="621">
        <v>0</v>
      </c>
      <c r="R58" s="623">
        <v>0</v>
      </c>
      <c r="S58" s="623">
        <v>0</v>
      </c>
      <c r="T58" s="623">
        <v>0</v>
      </c>
      <c r="U58" s="622">
        <v>0</v>
      </c>
      <c r="V58" s="619">
        <v>21.321000000000002</v>
      </c>
      <c r="W58" s="623">
        <v>23.073121093999998</v>
      </c>
      <c r="X58" s="623">
        <v>26.639519531000001</v>
      </c>
      <c r="Y58" s="623">
        <v>27.172309921620002</v>
      </c>
      <c r="Z58" s="622">
        <v>27.715756120052401</v>
      </c>
      <c r="AA58" s="619">
        <v>28.270071242453451</v>
      </c>
      <c r="AB58" s="623">
        <v>28.835472667302522</v>
      </c>
      <c r="AC58" s="623">
        <v>29.412182120648573</v>
      </c>
      <c r="AD58" s="623">
        <v>30.000425763061546</v>
      </c>
      <c r="AE58" s="622">
        <v>30.600434278322776</v>
      </c>
      <c r="AF58" s="621">
        <v>32</v>
      </c>
      <c r="AG58" s="623">
        <v>32</v>
      </c>
      <c r="AH58" s="623">
        <v>26.639519531000001</v>
      </c>
      <c r="AI58" s="627" t="s">
        <v>1024</v>
      </c>
      <c r="AJ58" s="628" t="s">
        <v>1025</v>
      </c>
      <c r="AK58" s="629" t="s">
        <v>1066</v>
      </c>
    </row>
    <row r="59" spans="2:37" s="615" customFormat="1" ht="15.75" customHeight="1">
      <c r="B59" s="630">
        <v>14</v>
      </c>
      <c r="C59" s="617" t="s">
        <v>1067</v>
      </c>
      <c r="D59" s="617">
        <v>132</v>
      </c>
      <c r="E59" s="617">
        <v>11</v>
      </c>
      <c r="F59" s="617" t="s">
        <v>1030</v>
      </c>
      <c r="G59" s="618" t="s">
        <v>102</v>
      </c>
      <c r="H59" s="618" t="s">
        <v>64</v>
      </c>
      <c r="I59" s="618">
        <v>32</v>
      </c>
      <c r="J59" s="619">
        <v>2.5926242259382573</v>
      </c>
      <c r="K59" s="620">
        <v>0.13480805765624998</v>
      </c>
      <c r="L59" s="619">
        <v>0</v>
      </c>
      <c r="M59" s="621">
        <v>0</v>
      </c>
      <c r="N59" s="621">
        <v>0</v>
      </c>
      <c r="O59" s="621">
        <v>1.08</v>
      </c>
      <c r="P59" s="622">
        <v>1</v>
      </c>
      <c r="Q59" s="621">
        <v>0.13480805765624998</v>
      </c>
      <c r="R59" s="623">
        <v>0</v>
      </c>
      <c r="S59" s="623">
        <v>0</v>
      </c>
      <c r="T59" s="623">
        <v>0</v>
      </c>
      <c r="U59" s="622">
        <v>0</v>
      </c>
      <c r="V59" s="619">
        <v>36.756</v>
      </c>
      <c r="W59" s="623">
        <v>33.747</v>
      </c>
      <c r="X59" s="623">
        <v>35.090582030999997</v>
      </c>
      <c r="Y59" s="623">
        <v>39.592393671619995</v>
      </c>
      <c r="Z59" s="622">
        <v>27.484241545052399</v>
      </c>
      <c r="AA59" s="619">
        <v>28.033926375953445</v>
      </c>
      <c r="AB59" s="623">
        <v>28.594604903472515</v>
      </c>
      <c r="AC59" s="623">
        <v>29.166497001541966</v>
      </c>
      <c r="AD59" s="623">
        <v>29.749826941572806</v>
      </c>
      <c r="AE59" s="622">
        <v>30.344823480404262</v>
      </c>
      <c r="AF59" s="621">
        <v>36</v>
      </c>
      <c r="AG59" s="623">
        <v>36</v>
      </c>
      <c r="AH59" s="623">
        <v>35.090582030999997</v>
      </c>
      <c r="AI59" s="627" t="s">
        <v>1024</v>
      </c>
      <c r="AJ59" s="628" t="s">
        <v>1025</v>
      </c>
      <c r="AK59" s="629" t="s">
        <v>1068</v>
      </c>
    </row>
    <row r="60" spans="2:37" s="615" customFormat="1" ht="15.75" customHeight="1">
      <c r="B60" s="630">
        <v>15</v>
      </c>
      <c r="C60" s="617" t="s">
        <v>1069</v>
      </c>
      <c r="D60" s="617">
        <v>33</v>
      </c>
      <c r="E60" s="617">
        <v>11</v>
      </c>
      <c r="F60" s="617" t="s">
        <v>1022</v>
      </c>
      <c r="G60" s="618" t="s">
        <v>1041</v>
      </c>
      <c r="H60" s="618">
        <v>0</v>
      </c>
      <c r="I60" s="618">
        <v>0</v>
      </c>
      <c r="J60" s="619">
        <v>0</v>
      </c>
      <c r="K60" s="620">
        <v>0</v>
      </c>
      <c r="L60" s="619">
        <v>0</v>
      </c>
      <c r="M60" s="621">
        <v>0</v>
      </c>
      <c r="N60" s="621">
        <v>0</v>
      </c>
      <c r="O60" s="621">
        <v>0</v>
      </c>
      <c r="P60" s="622">
        <v>0</v>
      </c>
      <c r="Q60" s="621">
        <v>0</v>
      </c>
      <c r="R60" s="623">
        <v>0</v>
      </c>
      <c r="S60" s="623">
        <v>0</v>
      </c>
      <c r="T60" s="623">
        <v>0</v>
      </c>
      <c r="U60" s="622">
        <v>0</v>
      </c>
      <c r="V60" s="619">
        <v>15.622640625000001</v>
      </c>
      <c r="W60" s="623">
        <v>14.7</v>
      </c>
      <c r="X60" s="623">
        <v>15.009680663999999</v>
      </c>
      <c r="Y60" s="623">
        <v>15.309874277279999</v>
      </c>
      <c r="Z60" s="622">
        <v>15.6160717628256</v>
      </c>
      <c r="AA60" s="619">
        <v>15.928393198082112</v>
      </c>
      <c r="AB60" s="623">
        <v>16.246961062043756</v>
      </c>
      <c r="AC60" s="623">
        <v>16.571900283284631</v>
      </c>
      <c r="AD60" s="623">
        <v>16.903338288950323</v>
      </c>
      <c r="AE60" s="622">
        <v>17.241405054729331</v>
      </c>
      <c r="AF60" s="621">
        <v>14</v>
      </c>
      <c r="AG60" s="623">
        <v>14</v>
      </c>
      <c r="AH60" s="623">
        <v>15.009680663999999</v>
      </c>
      <c r="AI60" s="627" t="s">
        <v>1024</v>
      </c>
      <c r="AJ60" s="628" t="s">
        <v>1025</v>
      </c>
      <c r="AK60" s="629" t="s">
        <v>1070</v>
      </c>
    </row>
    <row r="61" spans="2:37" s="615" customFormat="1" ht="15.75" customHeight="1">
      <c r="B61" s="630">
        <v>16</v>
      </c>
      <c r="C61" s="617" t="s">
        <v>1071</v>
      </c>
      <c r="D61" s="617">
        <v>66</v>
      </c>
      <c r="E61" s="617">
        <v>20</v>
      </c>
      <c r="F61" s="617" t="s">
        <v>1030</v>
      </c>
      <c r="G61" s="618" t="s">
        <v>1041</v>
      </c>
      <c r="H61" s="618" t="s">
        <v>213</v>
      </c>
      <c r="I61" s="618">
        <v>15</v>
      </c>
      <c r="J61" s="619">
        <v>3.4043753125</v>
      </c>
      <c r="K61" s="620">
        <v>3.2601149086328127</v>
      </c>
      <c r="L61" s="619">
        <v>0</v>
      </c>
      <c r="M61" s="621">
        <v>0</v>
      </c>
      <c r="N61" s="621">
        <v>0</v>
      </c>
      <c r="O61" s="621">
        <v>0</v>
      </c>
      <c r="P61" s="622">
        <v>0.14426040386718753</v>
      </c>
      <c r="Q61" s="621">
        <v>1.3451537953515627</v>
      </c>
      <c r="R61" s="623">
        <v>1.9149611132812501</v>
      </c>
      <c r="S61" s="623">
        <v>0</v>
      </c>
      <c r="T61" s="623">
        <v>0</v>
      </c>
      <c r="U61" s="622">
        <v>0</v>
      </c>
      <c r="V61" s="619">
        <v>27</v>
      </c>
      <c r="W61" s="623">
        <v>26.465</v>
      </c>
      <c r="X61" s="623">
        <v>26.88</v>
      </c>
      <c r="Y61" s="623">
        <v>27.014399999999995</v>
      </c>
      <c r="Z61" s="622">
        <v>27.149471999999992</v>
      </c>
      <c r="AA61" s="619">
        <v>27.285219359999989</v>
      </c>
      <c r="AB61" s="623">
        <v>27.421645456799986</v>
      </c>
      <c r="AC61" s="623">
        <v>27.558753684083982</v>
      </c>
      <c r="AD61" s="623">
        <v>27.696547452504397</v>
      </c>
      <c r="AE61" s="622">
        <v>27.835030189766915</v>
      </c>
      <c r="AF61" s="621">
        <v>25</v>
      </c>
      <c r="AG61" s="623">
        <v>25</v>
      </c>
      <c r="AH61" s="623">
        <v>26.88</v>
      </c>
      <c r="AI61" s="627" t="s">
        <v>1024</v>
      </c>
      <c r="AJ61" s="628" t="s">
        <v>1025</v>
      </c>
      <c r="AK61" s="629" t="s">
        <v>1072</v>
      </c>
    </row>
    <row r="62" spans="2:37" s="615" customFormat="1" ht="15.75" customHeight="1">
      <c r="B62" s="630">
        <v>17</v>
      </c>
      <c r="C62" s="617"/>
      <c r="D62" s="617"/>
      <c r="E62" s="617"/>
      <c r="F62" s="617"/>
      <c r="G62" s="618"/>
      <c r="H62" s="618"/>
      <c r="I62" s="618"/>
      <c r="J62" s="619"/>
      <c r="K62" s="620"/>
      <c r="L62" s="619"/>
      <c r="M62" s="621"/>
      <c r="N62" s="621"/>
      <c r="O62" s="621"/>
      <c r="P62" s="622"/>
      <c r="Q62" s="621"/>
      <c r="R62" s="623"/>
      <c r="S62" s="623"/>
      <c r="T62" s="623"/>
      <c r="U62" s="622"/>
      <c r="V62" s="619"/>
      <c r="W62" s="623"/>
      <c r="X62" s="623"/>
      <c r="Y62" s="623"/>
      <c r="Z62" s="622"/>
      <c r="AA62" s="619"/>
      <c r="AB62" s="623"/>
      <c r="AC62" s="623"/>
      <c r="AD62" s="623"/>
      <c r="AE62" s="622"/>
      <c r="AF62" s="621"/>
      <c r="AG62" s="623"/>
      <c r="AH62" s="623"/>
      <c r="AI62" s="627"/>
      <c r="AJ62" s="628"/>
      <c r="AK62" s="629"/>
    </row>
    <row r="63" spans="2:37" s="615" customFormat="1" ht="15.75" customHeight="1">
      <c r="B63" s="630">
        <v>18</v>
      </c>
      <c r="C63" s="617"/>
      <c r="D63" s="617"/>
      <c r="E63" s="617"/>
      <c r="F63" s="617"/>
      <c r="G63" s="618"/>
      <c r="H63" s="618"/>
      <c r="I63" s="618"/>
      <c r="J63" s="619"/>
      <c r="K63" s="620"/>
      <c r="L63" s="619"/>
      <c r="M63" s="621"/>
      <c r="N63" s="621"/>
      <c r="O63" s="621"/>
      <c r="P63" s="622"/>
      <c r="Q63" s="621"/>
      <c r="R63" s="623"/>
      <c r="S63" s="623"/>
      <c r="T63" s="623"/>
      <c r="U63" s="622"/>
      <c r="V63" s="619"/>
      <c r="W63" s="623"/>
      <c r="X63" s="623"/>
      <c r="Y63" s="623"/>
      <c r="Z63" s="622"/>
      <c r="AA63" s="619"/>
      <c r="AB63" s="623"/>
      <c r="AC63" s="623"/>
      <c r="AD63" s="623"/>
      <c r="AE63" s="622"/>
      <c r="AF63" s="621"/>
      <c r="AG63" s="623"/>
      <c r="AH63" s="623"/>
      <c r="AI63" s="627"/>
      <c r="AJ63" s="628"/>
      <c r="AK63" s="629"/>
    </row>
    <row r="64" spans="2:37" s="615" customFormat="1" ht="15.75" customHeight="1">
      <c r="B64" s="630">
        <v>19</v>
      </c>
      <c r="C64" s="617"/>
      <c r="D64" s="617"/>
      <c r="E64" s="617"/>
      <c r="F64" s="617"/>
      <c r="G64" s="618"/>
      <c r="H64" s="618"/>
      <c r="I64" s="618"/>
      <c r="J64" s="619"/>
      <c r="K64" s="620"/>
      <c r="L64" s="619"/>
      <c r="M64" s="621"/>
      <c r="N64" s="621"/>
      <c r="O64" s="621"/>
      <c r="P64" s="622"/>
      <c r="Q64" s="621"/>
      <c r="R64" s="623"/>
      <c r="S64" s="623"/>
      <c r="T64" s="623"/>
      <c r="U64" s="622"/>
      <c r="V64" s="619"/>
      <c r="W64" s="623"/>
      <c r="X64" s="623"/>
      <c r="Y64" s="623"/>
      <c r="Z64" s="622"/>
      <c r="AA64" s="619"/>
      <c r="AB64" s="623"/>
      <c r="AC64" s="623"/>
      <c r="AD64" s="623"/>
      <c r="AE64" s="622"/>
      <c r="AF64" s="621"/>
      <c r="AG64" s="623"/>
      <c r="AH64" s="623"/>
      <c r="AI64" s="627"/>
      <c r="AJ64" s="628"/>
      <c r="AK64" s="629"/>
    </row>
    <row r="65" spans="2:37" s="615" customFormat="1" ht="15.75" customHeight="1">
      <c r="B65" s="630">
        <v>20</v>
      </c>
      <c r="C65" s="631"/>
      <c r="D65" s="631"/>
      <c r="E65" s="617"/>
      <c r="F65" s="631"/>
      <c r="G65" s="632"/>
      <c r="H65" s="618"/>
      <c r="I65" s="632"/>
      <c r="J65" s="633"/>
      <c r="K65" s="634"/>
      <c r="L65" s="633"/>
      <c r="M65" s="635"/>
      <c r="N65" s="635"/>
      <c r="O65" s="635"/>
      <c r="P65" s="636"/>
      <c r="Q65" s="635"/>
      <c r="R65" s="637"/>
      <c r="S65" s="637"/>
      <c r="T65" s="637"/>
      <c r="U65" s="636"/>
      <c r="V65" s="619"/>
      <c r="W65" s="623"/>
      <c r="X65" s="623"/>
      <c r="Y65" s="623"/>
      <c r="Z65" s="622"/>
      <c r="AA65" s="619"/>
      <c r="AB65" s="623"/>
      <c r="AC65" s="623"/>
      <c r="AD65" s="623"/>
      <c r="AE65" s="622"/>
      <c r="AF65" s="621"/>
      <c r="AG65" s="623"/>
      <c r="AH65" s="623"/>
      <c r="AI65" s="627"/>
      <c r="AJ65" s="628"/>
      <c r="AK65" s="638"/>
    </row>
    <row r="66" spans="2:37" s="615" customFormat="1" ht="15.75" customHeight="1">
      <c r="B66" s="630">
        <v>21</v>
      </c>
      <c r="C66" s="631"/>
      <c r="D66" s="631"/>
      <c r="E66" s="617"/>
      <c r="F66" s="631"/>
      <c r="G66" s="632"/>
      <c r="H66" s="618"/>
      <c r="I66" s="632"/>
      <c r="J66" s="633"/>
      <c r="K66" s="634"/>
      <c r="L66" s="633"/>
      <c r="M66" s="635"/>
      <c r="N66" s="635"/>
      <c r="O66" s="635"/>
      <c r="P66" s="636"/>
      <c r="Q66" s="635"/>
      <c r="R66" s="637"/>
      <c r="S66" s="637"/>
      <c r="T66" s="637"/>
      <c r="U66" s="636"/>
      <c r="V66" s="619"/>
      <c r="W66" s="623"/>
      <c r="X66" s="623"/>
      <c r="Y66" s="623"/>
      <c r="Z66" s="622"/>
      <c r="AA66" s="619"/>
      <c r="AB66" s="623"/>
      <c r="AC66" s="623"/>
      <c r="AD66" s="623"/>
      <c r="AE66" s="622"/>
      <c r="AF66" s="621"/>
      <c r="AG66" s="623"/>
      <c r="AH66" s="623"/>
      <c r="AI66" s="627"/>
      <c r="AJ66" s="628"/>
      <c r="AK66" s="638"/>
    </row>
    <row r="67" spans="2:37" s="615" customFormat="1" ht="15.75" customHeight="1">
      <c r="B67" s="630">
        <v>22</v>
      </c>
      <c r="C67" s="631"/>
      <c r="D67" s="631"/>
      <c r="E67" s="617"/>
      <c r="F67" s="631"/>
      <c r="G67" s="632"/>
      <c r="H67" s="618"/>
      <c r="I67" s="632"/>
      <c r="J67" s="633"/>
      <c r="K67" s="634"/>
      <c r="L67" s="633"/>
      <c r="M67" s="635"/>
      <c r="N67" s="635"/>
      <c r="O67" s="635"/>
      <c r="P67" s="636"/>
      <c r="Q67" s="635"/>
      <c r="R67" s="637"/>
      <c r="S67" s="637"/>
      <c r="T67" s="637"/>
      <c r="U67" s="636"/>
      <c r="V67" s="619"/>
      <c r="W67" s="623"/>
      <c r="X67" s="623"/>
      <c r="Y67" s="623"/>
      <c r="Z67" s="622"/>
      <c r="AA67" s="619"/>
      <c r="AB67" s="623"/>
      <c r="AC67" s="623"/>
      <c r="AD67" s="623"/>
      <c r="AE67" s="622"/>
      <c r="AF67" s="621"/>
      <c r="AG67" s="623"/>
      <c r="AH67" s="623"/>
      <c r="AI67" s="627"/>
      <c r="AJ67" s="628"/>
      <c r="AK67" s="638"/>
    </row>
    <row r="68" spans="2:37" s="615" customFormat="1" ht="15.75" customHeight="1">
      <c r="B68" s="630">
        <v>23</v>
      </c>
      <c r="C68" s="631"/>
      <c r="D68" s="631"/>
      <c r="E68" s="617"/>
      <c r="F68" s="631"/>
      <c r="G68" s="632"/>
      <c r="H68" s="618"/>
      <c r="I68" s="632"/>
      <c r="J68" s="633"/>
      <c r="K68" s="634"/>
      <c r="L68" s="633"/>
      <c r="M68" s="635"/>
      <c r="N68" s="635"/>
      <c r="O68" s="635"/>
      <c r="P68" s="636"/>
      <c r="Q68" s="635"/>
      <c r="R68" s="637"/>
      <c r="S68" s="637"/>
      <c r="T68" s="637"/>
      <c r="U68" s="636"/>
      <c r="V68" s="619"/>
      <c r="W68" s="623"/>
      <c r="X68" s="623"/>
      <c r="Y68" s="623"/>
      <c r="Z68" s="622"/>
      <c r="AA68" s="619"/>
      <c r="AB68" s="623"/>
      <c r="AC68" s="623"/>
      <c r="AD68" s="623"/>
      <c r="AE68" s="622"/>
      <c r="AF68" s="621"/>
      <c r="AG68" s="623"/>
      <c r="AH68" s="623"/>
      <c r="AI68" s="627"/>
      <c r="AJ68" s="628"/>
      <c r="AK68" s="638"/>
    </row>
    <row r="69" spans="2:37" s="615" customFormat="1" ht="15.75" customHeight="1">
      <c r="B69" s="630">
        <v>24</v>
      </c>
      <c r="C69" s="631"/>
      <c r="D69" s="631"/>
      <c r="E69" s="617"/>
      <c r="F69" s="631"/>
      <c r="G69" s="632"/>
      <c r="H69" s="618"/>
      <c r="I69" s="632"/>
      <c r="J69" s="633"/>
      <c r="K69" s="634"/>
      <c r="L69" s="633"/>
      <c r="M69" s="635"/>
      <c r="N69" s="635"/>
      <c r="O69" s="635"/>
      <c r="P69" s="636"/>
      <c r="Q69" s="635"/>
      <c r="R69" s="637"/>
      <c r="S69" s="637"/>
      <c r="T69" s="637"/>
      <c r="U69" s="636"/>
      <c r="V69" s="619"/>
      <c r="W69" s="623"/>
      <c r="X69" s="623"/>
      <c r="Y69" s="623"/>
      <c r="Z69" s="622"/>
      <c r="AA69" s="619"/>
      <c r="AB69" s="623"/>
      <c r="AC69" s="623"/>
      <c r="AD69" s="623"/>
      <c r="AE69" s="622"/>
      <c r="AF69" s="621"/>
      <c r="AG69" s="623"/>
      <c r="AH69" s="623"/>
      <c r="AI69" s="627"/>
      <c r="AJ69" s="628"/>
      <c r="AK69" s="638"/>
    </row>
    <row r="70" spans="2:37" s="615" customFormat="1" ht="15.75" customHeight="1">
      <c r="B70" s="630">
        <v>25</v>
      </c>
      <c r="C70" s="631"/>
      <c r="D70" s="631"/>
      <c r="E70" s="617"/>
      <c r="F70" s="631"/>
      <c r="G70" s="632"/>
      <c r="H70" s="618"/>
      <c r="I70" s="632"/>
      <c r="J70" s="633"/>
      <c r="K70" s="634"/>
      <c r="L70" s="633"/>
      <c r="M70" s="635"/>
      <c r="N70" s="635"/>
      <c r="O70" s="635"/>
      <c r="P70" s="636"/>
      <c r="Q70" s="635"/>
      <c r="R70" s="637"/>
      <c r="S70" s="637"/>
      <c r="T70" s="637"/>
      <c r="U70" s="636"/>
      <c r="V70" s="619"/>
      <c r="W70" s="623"/>
      <c r="X70" s="623"/>
      <c r="Y70" s="623"/>
      <c r="Z70" s="622"/>
      <c r="AA70" s="619"/>
      <c r="AB70" s="623"/>
      <c r="AC70" s="623"/>
      <c r="AD70" s="623"/>
      <c r="AE70" s="622"/>
      <c r="AF70" s="621"/>
      <c r="AG70" s="623"/>
      <c r="AH70" s="623"/>
      <c r="AI70" s="627"/>
      <c r="AJ70" s="628"/>
      <c r="AK70" s="638"/>
    </row>
    <row r="71" spans="2:37" s="615" customFormat="1" ht="15.75" customHeight="1">
      <c r="B71" s="630">
        <v>26</v>
      </c>
      <c r="C71" s="631"/>
      <c r="D71" s="631"/>
      <c r="E71" s="617"/>
      <c r="F71" s="631"/>
      <c r="G71" s="632"/>
      <c r="H71" s="618"/>
      <c r="I71" s="632"/>
      <c r="J71" s="633"/>
      <c r="K71" s="634"/>
      <c r="L71" s="633"/>
      <c r="M71" s="635"/>
      <c r="N71" s="635"/>
      <c r="O71" s="635"/>
      <c r="P71" s="636"/>
      <c r="Q71" s="635"/>
      <c r="R71" s="637"/>
      <c r="S71" s="637"/>
      <c r="T71" s="637"/>
      <c r="U71" s="636"/>
      <c r="V71" s="619"/>
      <c r="W71" s="623"/>
      <c r="X71" s="623"/>
      <c r="Y71" s="623"/>
      <c r="Z71" s="622"/>
      <c r="AA71" s="619"/>
      <c r="AB71" s="623"/>
      <c r="AC71" s="623"/>
      <c r="AD71" s="623"/>
      <c r="AE71" s="622"/>
      <c r="AF71" s="621"/>
      <c r="AG71" s="623"/>
      <c r="AH71" s="623"/>
      <c r="AI71" s="627"/>
      <c r="AJ71" s="628"/>
      <c r="AK71" s="638"/>
    </row>
    <row r="72" spans="2:37" s="615" customFormat="1" ht="15.75" customHeight="1">
      <c r="B72" s="630">
        <v>27</v>
      </c>
      <c r="C72" s="631"/>
      <c r="D72" s="631"/>
      <c r="E72" s="617"/>
      <c r="F72" s="631"/>
      <c r="G72" s="632"/>
      <c r="H72" s="618"/>
      <c r="I72" s="632"/>
      <c r="J72" s="633"/>
      <c r="K72" s="634"/>
      <c r="L72" s="633"/>
      <c r="M72" s="635"/>
      <c r="N72" s="635"/>
      <c r="O72" s="635"/>
      <c r="P72" s="636"/>
      <c r="Q72" s="635"/>
      <c r="R72" s="637"/>
      <c r="S72" s="637"/>
      <c r="T72" s="637"/>
      <c r="U72" s="636"/>
      <c r="V72" s="619"/>
      <c r="W72" s="623"/>
      <c r="X72" s="623"/>
      <c r="Y72" s="623"/>
      <c r="Z72" s="622"/>
      <c r="AA72" s="619"/>
      <c r="AB72" s="623"/>
      <c r="AC72" s="623"/>
      <c r="AD72" s="623"/>
      <c r="AE72" s="622"/>
      <c r="AF72" s="621"/>
      <c r="AG72" s="623"/>
      <c r="AH72" s="623"/>
      <c r="AI72" s="627"/>
      <c r="AJ72" s="628"/>
      <c r="AK72" s="638"/>
    </row>
    <row r="73" spans="2:37" s="615" customFormat="1" ht="15.75" customHeight="1">
      <c r="B73" s="630">
        <v>28</v>
      </c>
      <c r="C73" s="631"/>
      <c r="D73" s="631"/>
      <c r="E73" s="617"/>
      <c r="F73" s="631"/>
      <c r="G73" s="632"/>
      <c r="H73" s="618"/>
      <c r="I73" s="632"/>
      <c r="J73" s="633"/>
      <c r="K73" s="634"/>
      <c r="L73" s="633"/>
      <c r="M73" s="635"/>
      <c r="N73" s="635"/>
      <c r="O73" s="635"/>
      <c r="P73" s="636"/>
      <c r="Q73" s="635"/>
      <c r="R73" s="637"/>
      <c r="S73" s="637"/>
      <c r="T73" s="637"/>
      <c r="U73" s="636"/>
      <c r="V73" s="619"/>
      <c r="W73" s="623"/>
      <c r="X73" s="623"/>
      <c r="Y73" s="623"/>
      <c r="Z73" s="622"/>
      <c r="AA73" s="619"/>
      <c r="AB73" s="623"/>
      <c r="AC73" s="623"/>
      <c r="AD73" s="623"/>
      <c r="AE73" s="622"/>
      <c r="AF73" s="621"/>
      <c r="AG73" s="623"/>
      <c r="AH73" s="623"/>
      <c r="AI73" s="627"/>
      <c r="AJ73" s="628"/>
      <c r="AK73" s="638"/>
    </row>
    <row r="74" spans="2:37" s="615" customFormat="1" ht="15.75" customHeight="1">
      <c r="B74" s="630">
        <v>29</v>
      </c>
      <c r="C74" s="631"/>
      <c r="D74" s="631"/>
      <c r="E74" s="617"/>
      <c r="F74" s="631"/>
      <c r="G74" s="632"/>
      <c r="H74" s="618"/>
      <c r="I74" s="632"/>
      <c r="J74" s="633"/>
      <c r="K74" s="634"/>
      <c r="L74" s="633"/>
      <c r="M74" s="635"/>
      <c r="N74" s="635"/>
      <c r="O74" s="635"/>
      <c r="P74" s="636"/>
      <c r="Q74" s="635"/>
      <c r="R74" s="637"/>
      <c r="S74" s="637"/>
      <c r="T74" s="637"/>
      <c r="U74" s="636"/>
      <c r="V74" s="619"/>
      <c r="W74" s="623"/>
      <c r="X74" s="623"/>
      <c r="Y74" s="623"/>
      <c r="Z74" s="622"/>
      <c r="AA74" s="619"/>
      <c r="AB74" s="623"/>
      <c r="AC74" s="623"/>
      <c r="AD74" s="623"/>
      <c r="AE74" s="622"/>
      <c r="AF74" s="621"/>
      <c r="AG74" s="623"/>
      <c r="AH74" s="623"/>
      <c r="AI74" s="627"/>
      <c r="AJ74" s="628"/>
      <c r="AK74" s="638"/>
    </row>
    <row r="75" spans="2:37" s="615" customFormat="1" ht="15.75" customHeight="1">
      <c r="B75" s="630">
        <v>30</v>
      </c>
      <c r="C75" s="631"/>
      <c r="D75" s="631"/>
      <c r="E75" s="617"/>
      <c r="F75" s="631"/>
      <c r="G75" s="632"/>
      <c r="H75" s="618"/>
      <c r="I75" s="632"/>
      <c r="J75" s="633"/>
      <c r="K75" s="634"/>
      <c r="L75" s="633"/>
      <c r="M75" s="635"/>
      <c r="N75" s="635"/>
      <c r="O75" s="635"/>
      <c r="P75" s="636"/>
      <c r="Q75" s="635"/>
      <c r="R75" s="637"/>
      <c r="S75" s="637"/>
      <c r="T75" s="637"/>
      <c r="U75" s="636"/>
      <c r="V75" s="619"/>
      <c r="W75" s="623"/>
      <c r="X75" s="623"/>
      <c r="Y75" s="623"/>
      <c r="Z75" s="622"/>
      <c r="AA75" s="619"/>
      <c r="AB75" s="623"/>
      <c r="AC75" s="623"/>
      <c r="AD75" s="623"/>
      <c r="AE75" s="622"/>
      <c r="AF75" s="621"/>
      <c r="AG75" s="623"/>
      <c r="AH75" s="623"/>
      <c r="AI75" s="627"/>
      <c r="AJ75" s="628"/>
      <c r="AK75" s="638"/>
    </row>
    <row r="76" spans="2:37" s="615" customFormat="1" ht="15.75" customHeight="1">
      <c r="B76" s="630">
        <v>31</v>
      </c>
      <c r="C76" s="631"/>
      <c r="D76" s="631"/>
      <c r="E76" s="617"/>
      <c r="F76" s="631"/>
      <c r="G76" s="632"/>
      <c r="H76" s="618"/>
      <c r="I76" s="632"/>
      <c r="J76" s="633"/>
      <c r="K76" s="634"/>
      <c r="L76" s="633"/>
      <c r="M76" s="635"/>
      <c r="N76" s="635"/>
      <c r="O76" s="635"/>
      <c r="P76" s="636"/>
      <c r="Q76" s="635"/>
      <c r="R76" s="637"/>
      <c r="S76" s="637"/>
      <c r="T76" s="637"/>
      <c r="U76" s="636"/>
      <c r="V76" s="619"/>
      <c r="W76" s="623"/>
      <c r="X76" s="623"/>
      <c r="Y76" s="623"/>
      <c r="Z76" s="622"/>
      <c r="AA76" s="619"/>
      <c r="AB76" s="623"/>
      <c r="AC76" s="623"/>
      <c r="AD76" s="623"/>
      <c r="AE76" s="622"/>
      <c r="AF76" s="621"/>
      <c r="AG76" s="623"/>
      <c r="AH76" s="623"/>
      <c r="AI76" s="627"/>
      <c r="AJ76" s="628"/>
      <c r="AK76" s="638"/>
    </row>
    <row r="77" spans="2:37" s="615" customFormat="1" ht="15.75" customHeight="1">
      <c r="B77" s="630">
        <v>32</v>
      </c>
      <c r="C77" s="631"/>
      <c r="D77" s="631"/>
      <c r="E77" s="617"/>
      <c r="F77" s="631"/>
      <c r="G77" s="632"/>
      <c r="H77" s="618"/>
      <c r="I77" s="632"/>
      <c r="J77" s="633"/>
      <c r="K77" s="634"/>
      <c r="L77" s="633"/>
      <c r="M77" s="635"/>
      <c r="N77" s="635"/>
      <c r="O77" s="635"/>
      <c r="P77" s="636"/>
      <c r="Q77" s="635"/>
      <c r="R77" s="637"/>
      <c r="S77" s="637"/>
      <c r="T77" s="637"/>
      <c r="U77" s="636"/>
      <c r="V77" s="619"/>
      <c r="W77" s="623"/>
      <c r="X77" s="623"/>
      <c r="Y77" s="623"/>
      <c r="Z77" s="622"/>
      <c r="AA77" s="619"/>
      <c r="AB77" s="623"/>
      <c r="AC77" s="623"/>
      <c r="AD77" s="623"/>
      <c r="AE77" s="622"/>
      <c r="AF77" s="621"/>
      <c r="AG77" s="623"/>
      <c r="AH77" s="623"/>
      <c r="AI77" s="627"/>
      <c r="AJ77" s="628"/>
      <c r="AK77" s="638"/>
    </row>
    <row r="78" spans="2:37" s="615" customFormat="1" ht="15.75" customHeight="1">
      <c r="B78" s="630">
        <v>33</v>
      </c>
      <c r="C78" s="631"/>
      <c r="D78" s="631"/>
      <c r="E78" s="617"/>
      <c r="F78" s="631"/>
      <c r="G78" s="632"/>
      <c r="H78" s="618"/>
      <c r="I78" s="632"/>
      <c r="J78" s="633"/>
      <c r="K78" s="634"/>
      <c r="L78" s="633"/>
      <c r="M78" s="635"/>
      <c r="N78" s="635"/>
      <c r="O78" s="635"/>
      <c r="P78" s="636"/>
      <c r="Q78" s="635"/>
      <c r="R78" s="637"/>
      <c r="S78" s="637"/>
      <c r="T78" s="637"/>
      <c r="U78" s="636"/>
      <c r="V78" s="619"/>
      <c r="W78" s="623"/>
      <c r="X78" s="623"/>
      <c r="Y78" s="623"/>
      <c r="Z78" s="622"/>
      <c r="AA78" s="619"/>
      <c r="AB78" s="623"/>
      <c r="AC78" s="623"/>
      <c r="AD78" s="623"/>
      <c r="AE78" s="622"/>
      <c r="AF78" s="621"/>
      <c r="AG78" s="623"/>
      <c r="AH78" s="623"/>
      <c r="AI78" s="627"/>
      <c r="AJ78" s="628"/>
      <c r="AK78" s="638"/>
    </row>
    <row r="79" spans="2:37" s="615" customFormat="1" ht="15.75" customHeight="1">
      <c r="B79" s="630">
        <v>34</v>
      </c>
      <c r="C79" s="631"/>
      <c r="D79" s="631"/>
      <c r="E79" s="617"/>
      <c r="F79" s="631"/>
      <c r="G79" s="632"/>
      <c r="H79" s="618"/>
      <c r="I79" s="632"/>
      <c r="J79" s="633"/>
      <c r="K79" s="634"/>
      <c r="L79" s="633"/>
      <c r="M79" s="635"/>
      <c r="N79" s="635"/>
      <c r="O79" s="635"/>
      <c r="P79" s="636"/>
      <c r="Q79" s="635"/>
      <c r="R79" s="637"/>
      <c r="S79" s="637"/>
      <c r="T79" s="637"/>
      <c r="U79" s="636"/>
      <c r="V79" s="619"/>
      <c r="W79" s="623"/>
      <c r="X79" s="623"/>
      <c r="Y79" s="623"/>
      <c r="Z79" s="622"/>
      <c r="AA79" s="619"/>
      <c r="AB79" s="623"/>
      <c r="AC79" s="623"/>
      <c r="AD79" s="623"/>
      <c r="AE79" s="622"/>
      <c r="AF79" s="621"/>
      <c r="AG79" s="623"/>
      <c r="AH79" s="623"/>
      <c r="AI79" s="627"/>
      <c r="AJ79" s="628"/>
      <c r="AK79" s="638"/>
    </row>
    <row r="80" spans="2:37" s="615" customFormat="1" ht="15.75" customHeight="1">
      <c r="B80" s="630">
        <v>35</v>
      </c>
      <c r="C80" s="631"/>
      <c r="D80" s="631"/>
      <c r="E80" s="617"/>
      <c r="F80" s="631"/>
      <c r="G80" s="632"/>
      <c r="H80" s="618"/>
      <c r="I80" s="632"/>
      <c r="J80" s="633"/>
      <c r="K80" s="634"/>
      <c r="L80" s="633"/>
      <c r="M80" s="635"/>
      <c r="N80" s="635"/>
      <c r="O80" s="635"/>
      <c r="P80" s="636"/>
      <c r="Q80" s="635"/>
      <c r="R80" s="637"/>
      <c r="S80" s="637"/>
      <c r="T80" s="637"/>
      <c r="U80" s="636"/>
      <c r="V80" s="619"/>
      <c r="W80" s="623"/>
      <c r="X80" s="623"/>
      <c r="Y80" s="623"/>
      <c r="Z80" s="622"/>
      <c r="AA80" s="619"/>
      <c r="AB80" s="623"/>
      <c r="AC80" s="623"/>
      <c r="AD80" s="623"/>
      <c r="AE80" s="622"/>
      <c r="AF80" s="621"/>
      <c r="AG80" s="623"/>
      <c r="AH80" s="623"/>
      <c r="AI80" s="627"/>
      <c r="AJ80" s="628"/>
      <c r="AK80" s="638"/>
    </row>
    <row r="81" spans="2:37" s="615" customFormat="1" ht="15.75" customHeight="1">
      <c r="B81" s="630">
        <v>36</v>
      </c>
      <c r="C81" s="631"/>
      <c r="D81" s="631"/>
      <c r="E81" s="617"/>
      <c r="F81" s="631"/>
      <c r="G81" s="632"/>
      <c r="H81" s="618"/>
      <c r="I81" s="632"/>
      <c r="J81" s="633"/>
      <c r="K81" s="634"/>
      <c r="L81" s="633"/>
      <c r="M81" s="635"/>
      <c r="N81" s="635"/>
      <c r="O81" s="635"/>
      <c r="P81" s="636"/>
      <c r="Q81" s="635"/>
      <c r="R81" s="637"/>
      <c r="S81" s="637"/>
      <c r="T81" s="637"/>
      <c r="U81" s="636"/>
      <c r="V81" s="619"/>
      <c r="W81" s="623"/>
      <c r="X81" s="623"/>
      <c r="Y81" s="623"/>
      <c r="Z81" s="622"/>
      <c r="AA81" s="619"/>
      <c r="AB81" s="623"/>
      <c r="AC81" s="623"/>
      <c r="AD81" s="623"/>
      <c r="AE81" s="622"/>
      <c r="AF81" s="621"/>
      <c r="AG81" s="623"/>
      <c r="AH81" s="623"/>
      <c r="AI81" s="627"/>
      <c r="AJ81" s="628"/>
      <c r="AK81" s="638"/>
    </row>
    <row r="82" spans="2:37" s="615" customFormat="1" ht="15.75" customHeight="1">
      <c r="B82" s="630">
        <v>37</v>
      </c>
      <c r="C82" s="631"/>
      <c r="D82" s="631"/>
      <c r="E82" s="617"/>
      <c r="F82" s="631"/>
      <c r="G82" s="632"/>
      <c r="H82" s="618"/>
      <c r="I82" s="632"/>
      <c r="J82" s="633"/>
      <c r="K82" s="634"/>
      <c r="L82" s="633"/>
      <c r="M82" s="635"/>
      <c r="N82" s="635"/>
      <c r="O82" s="635"/>
      <c r="P82" s="636"/>
      <c r="Q82" s="635"/>
      <c r="R82" s="637"/>
      <c r="S82" s="637"/>
      <c r="T82" s="637"/>
      <c r="U82" s="636"/>
      <c r="V82" s="619"/>
      <c r="W82" s="623"/>
      <c r="X82" s="623"/>
      <c r="Y82" s="623"/>
      <c r="Z82" s="622"/>
      <c r="AA82" s="619"/>
      <c r="AB82" s="623"/>
      <c r="AC82" s="623"/>
      <c r="AD82" s="623"/>
      <c r="AE82" s="622"/>
      <c r="AF82" s="621"/>
      <c r="AG82" s="623"/>
      <c r="AH82" s="623"/>
      <c r="AI82" s="627"/>
      <c r="AJ82" s="628"/>
      <c r="AK82" s="638"/>
    </row>
    <row r="83" spans="2:37" s="615" customFormat="1" ht="15.75" customHeight="1">
      <c r="B83" s="630">
        <v>38</v>
      </c>
      <c r="C83" s="631"/>
      <c r="D83" s="631"/>
      <c r="E83" s="617"/>
      <c r="F83" s="631"/>
      <c r="G83" s="632"/>
      <c r="H83" s="618"/>
      <c r="I83" s="632"/>
      <c r="J83" s="633"/>
      <c r="K83" s="634"/>
      <c r="L83" s="633"/>
      <c r="M83" s="635"/>
      <c r="N83" s="635"/>
      <c r="O83" s="635"/>
      <c r="P83" s="636"/>
      <c r="Q83" s="635"/>
      <c r="R83" s="637"/>
      <c r="S83" s="637"/>
      <c r="T83" s="637"/>
      <c r="U83" s="636"/>
      <c r="V83" s="619"/>
      <c r="W83" s="623"/>
      <c r="X83" s="623"/>
      <c r="Y83" s="623"/>
      <c r="Z83" s="622"/>
      <c r="AA83" s="619"/>
      <c r="AB83" s="623"/>
      <c r="AC83" s="623"/>
      <c r="AD83" s="623"/>
      <c r="AE83" s="622"/>
      <c r="AF83" s="621"/>
      <c r="AG83" s="623"/>
      <c r="AH83" s="623"/>
      <c r="AI83" s="627"/>
      <c r="AJ83" s="628"/>
      <c r="AK83" s="638"/>
    </row>
    <row r="84" spans="2:37" s="615" customFormat="1" ht="15.75" customHeight="1">
      <c r="B84" s="630">
        <v>39</v>
      </c>
      <c r="C84" s="631"/>
      <c r="D84" s="631"/>
      <c r="E84" s="617"/>
      <c r="F84" s="631"/>
      <c r="G84" s="632"/>
      <c r="H84" s="618"/>
      <c r="I84" s="632"/>
      <c r="J84" s="633"/>
      <c r="K84" s="634"/>
      <c r="L84" s="633"/>
      <c r="M84" s="635"/>
      <c r="N84" s="635"/>
      <c r="O84" s="635"/>
      <c r="P84" s="636"/>
      <c r="Q84" s="635"/>
      <c r="R84" s="637"/>
      <c r="S84" s="637"/>
      <c r="T84" s="637"/>
      <c r="U84" s="636"/>
      <c r="V84" s="619"/>
      <c r="W84" s="623"/>
      <c r="X84" s="623"/>
      <c r="Y84" s="623"/>
      <c r="Z84" s="622"/>
      <c r="AA84" s="619"/>
      <c r="AB84" s="623"/>
      <c r="AC84" s="623"/>
      <c r="AD84" s="623"/>
      <c r="AE84" s="622"/>
      <c r="AF84" s="621"/>
      <c r="AG84" s="623"/>
      <c r="AH84" s="623"/>
      <c r="AI84" s="627"/>
      <c r="AJ84" s="628"/>
      <c r="AK84" s="638"/>
    </row>
    <row r="85" spans="2:37" s="615" customFormat="1" ht="15.75" customHeight="1">
      <c r="B85" s="630">
        <v>40</v>
      </c>
      <c r="C85" s="631"/>
      <c r="D85" s="631"/>
      <c r="E85" s="617"/>
      <c r="F85" s="631"/>
      <c r="G85" s="632"/>
      <c r="H85" s="618"/>
      <c r="I85" s="632"/>
      <c r="J85" s="633"/>
      <c r="K85" s="634"/>
      <c r="L85" s="633"/>
      <c r="M85" s="635"/>
      <c r="N85" s="635"/>
      <c r="O85" s="635"/>
      <c r="P85" s="636"/>
      <c r="Q85" s="635"/>
      <c r="R85" s="637"/>
      <c r="S85" s="637"/>
      <c r="T85" s="637"/>
      <c r="U85" s="636"/>
      <c r="V85" s="619"/>
      <c r="W85" s="623"/>
      <c r="X85" s="623"/>
      <c r="Y85" s="623"/>
      <c r="Z85" s="622"/>
      <c r="AA85" s="619"/>
      <c r="AB85" s="623"/>
      <c r="AC85" s="623"/>
      <c r="AD85" s="623"/>
      <c r="AE85" s="622"/>
      <c r="AF85" s="621"/>
      <c r="AG85" s="623"/>
      <c r="AH85" s="623"/>
      <c r="AI85" s="627"/>
      <c r="AJ85" s="628"/>
      <c r="AK85" s="638"/>
    </row>
    <row r="86" spans="2:37" s="615" customFormat="1" ht="15.75" customHeight="1">
      <c r="B86" s="630">
        <v>41</v>
      </c>
      <c r="C86" s="631"/>
      <c r="D86" s="631"/>
      <c r="E86" s="617"/>
      <c r="F86" s="631"/>
      <c r="G86" s="632"/>
      <c r="H86" s="618"/>
      <c r="I86" s="632"/>
      <c r="J86" s="633"/>
      <c r="K86" s="634"/>
      <c r="L86" s="633"/>
      <c r="M86" s="635"/>
      <c r="N86" s="635"/>
      <c r="O86" s="635"/>
      <c r="P86" s="636"/>
      <c r="Q86" s="635"/>
      <c r="R86" s="637"/>
      <c r="S86" s="637"/>
      <c r="T86" s="637"/>
      <c r="U86" s="636"/>
      <c r="V86" s="619"/>
      <c r="W86" s="623"/>
      <c r="X86" s="623"/>
      <c r="Y86" s="623"/>
      <c r="Z86" s="622"/>
      <c r="AA86" s="619"/>
      <c r="AB86" s="623"/>
      <c r="AC86" s="623"/>
      <c r="AD86" s="623"/>
      <c r="AE86" s="622"/>
      <c r="AF86" s="621"/>
      <c r="AG86" s="623"/>
      <c r="AH86" s="623"/>
      <c r="AI86" s="627"/>
      <c r="AJ86" s="628"/>
      <c r="AK86" s="638"/>
    </row>
    <row r="87" spans="2:37" s="615" customFormat="1" ht="15.75" customHeight="1">
      <c r="B87" s="630">
        <v>42</v>
      </c>
      <c r="C87" s="631"/>
      <c r="D87" s="631"/>
      <c r="E87" s="617"/>
      <c r="F87" s="631"/>
      <c r="G87" s="632"/>
      <c r="H87" s="618"/>
      <c r="I87" s="632"/>
      <c r="J87" s="633"/>
      <c r="K87" s="634"/>
      <c r="L87" s="633"/>
      <c r="M87" s="635"/>
      <c r="N87" s="635"/>
      <c r="O87" s="635"/>
      <c r="P87" s="636"/>
      <c r="Q87" s="635"/>
      <c r="R87" s="637"/>
      <c r="S87" s="637"/>
      <c r="T87" s="637"/>
      <c r="U87" s="636"/>
      <c r="V87" s="619"/>
      <c r="W87" s="623"/>
      <c r="X87" s="623"/>
      <c r="Y87" s="623"/>
      <c r="Z87" s="622"/>
      <c r="AA87" s="619"/>
      <c r="AB87" s="623"/>
      <c r="AC87" s="623"/>
      <c r="AD87" s="623"/>
      <c r="AE87" s="622"/>
      <c r="AF87" s="621"/>
      <c r="AG87" s="623"/>
      <c r="AH87" s="623"/>
      <c r="AI87" s="627"/>
      <c r="AJ87" s="628"/>
      <c r="AK87" s="638"/>
    </row>
    <row r="88" spans="2:37" s="615" customFormat="1" ht="15.75" customHeight="1">
      <c r="B88" s="630">
        <v>43</v>
      </c>
      <c r="C88" s="631"/>
      <c r="D88" s="631"/>
      <c r="E88" s="617"/>
      <c r="F88" s="631"/>
      <c r="G88" s="632"/>
      <c r="H88" s="618"/>
      <c r="I88" s="632"/>
      <c r="J88" s="633"/>
      <c r="K88" s="634"/>
      <c r="L88" s="633"/>
      <c r="M88" s="635"/>
      <c r="N88" s="635"/>
      <c r="O88" s="635"/>
      <c r="P88" s="636"/>
      <c r="Q88" s="635"/>
      <c r="R88" s="637"/>
      <c r="S88" s="637"/>
      <c r="T88" s="637"/>
      <c r="U88" s="636"/>
      <c r="V88" s="619"/>
      <c r="W88" s="623"/>
      <c r="X88" s="623"/>
      <c r="Y88" s="623"/>
      <c r="Z88" s="622"/>
      <c r="AA88" s="619"/>
      <c r="AB88" s="623"/>
      <c r="AC88" s="623"/>
      <c r="AD88" s="623"/>
      <c r="AE88" s="622"/>
      <c r="AF88" s="621"/>
      <c r="AG88" s="623"/>
      <c r="AH88" s="623"/>
      <c r="AI88" s="627"/>
      <c r="AJ88" s="628"/>
      <c r="AK88" s="638"/>
    </row>
    <row r="89" spans="2:37" s="615" customFormat="1" ht="15.75" customHeight="1">
      <c r="B89" s="630">
        <v>44</v>
      </c>
      <c r="C89" s="631"/>
      <c r="D89" s="631"/>
      <c r="E89" s="617"/>
      <c r="F89" s="631"/>
      <c r="G89" s="632"/>
      <c r="H89" s="618"/>
      <c r="I89" s="632"/>
      <c r="J89" s="633"/>
      <c r="K89" s="634"/>
      <c r="L89" s="633"/>
      <c r="M89" s="635"/>
      <c r="N89" s="635"/>
      <c r="O89" s="635"/>
      <c r="P89" s="636"/>
      <c r="Q89" s="635"/>
      <c r="R89" s="637"/>
      <c r="S89" s="637"/>
      <c r="T89" s="637"/>
      <c r="U89" s="636"/>
      <c r="V89" s="619"/>
      <c r="W89" s="623"/>
      <c r="X89" s="623"/>
      <c r="Y89" s="623"/>
      <c r="Z89" s="622"/>
      <c r="AA89" s="619"/>
      <c r="AB89" s="623"/>
      <c r="AC89" s="623"/>
      <c r="AD89" s="623"/>
      <c r="AE89" s="622"/>
      <c r="AF89" s="621"/>
      <c r="AG89" s="623"/>
      <c r="AH89" s="623"/>
      <c r="AI89" s="627"/>
      <c r="AJ89" s="628"/>
      <c r="AK89" s="638"/>
    </row>
    <row r="90" spans="2:37" s="615" customFormat="1" ht="15.75" customHeight="1">
      <c r="B90" s="630">
        <v>45</v>
      </c>
      <c r="C90" s="631"/>
      <c r="D90" s="631"/>
      <c r="E90" s="617"/>
      <c r="F90" s="631"/>
      <c r="G90" s="632"/>
      <c r="H90" s="618"/>
      <c r="I90" s="632"/>
      <c r="J90" s="633"/>
      <c r="K90" s="634"/>
      <c r="L90" s="633"/>
      <c r="M90" s="635"/>
      <c r="N90" s="635"/>
      <c r="O90" s="635"/>
      <c r="P90" s="636"/>
      <c r="Q90" s="635"/>
      <c r="R90" s="637"/>
      <c r="S90" s="637"/>
      <c r="T90" s="637"/>
      <c r="U90" s="636"/>
      <c r="V90" s="619"/>
      <c r="W90" s="623"/>
      <c r="X90" s="623"/>
      <c r="Y90" s="623"/>
      <c r="Z90" s="622"/>
      <c r="AA90" s="619"/>
      <c r="AB90" s="623"/>
      <c r="AC90" s="623"/>
      <c r="AD90" s="623"/>
      <c r="AE90" s="622"/>
      <c r="AF90" s="621"/>
      <c r="AG90" s="623"/>
      <c r="AH90" s="623"/>
      <c r="AI90" s="627"/>
      <c r="AJ90" s="628"/>
      <c r="AK90" s="638"/>
    </row>
    <row r="91" spans="2:37" s="615" customFormat="1" ht="15.75" customHeight="1">
      <c r="B91" s="630">
        <v>46</v>
      </c>
      <c r="C91" s="631"/>
      <c r="D91" s="631"/>
      <c r="E91" s="617"/>
      <c r="F91" s="631"/>
      <c r="G91" s="632"/>
      <c r="H91" s="618"/>
      <c r="I91" s="632"/>
      <c r="J91" s="633"/>
      <c r="K91" s="634"/>
      <c r="L91" s="633"/>
      <c r="M91" s="635"/>
      <c r="N91" s="635"/>
      <c r="O91" s="635"/>
      <c r="P91" s="636"/>
      <c r="Q91" s="635"/>
      <c r="R91" s="637"/>
      <c r="S91" s="637"/>
      <c r="T91" s="637"/>
      <c r="U91" s="636"/>
      <c r="V91" s="619"/>
      <c r="W91" s="623"/>
      <c r="X91" s="623"/>
      <c r="Y91" s="623"/>
      <c r="Z91" s="622"/>
      <c r="AA91" s="619"/>
      <c r="AB91" s="623"/>
      <c r="AC91" s="623"/>
      <c r="AD91" s="623"/>
      <c r="AE91" s="622"/>
      <c r="AF91" s="621"/>
      <c r="AG91" s="623"/>
      <c r="AH91" s="623"/>
      <c r="AI91" s="627"/>
      <c r="AJ91" s="628"/>
      <c r="AK91" s="638"/>
    </row>
    <row r="92" spans="2:37" s="615" customFormat="1" ht="15.75" customHeight="1">
      <c r="B92" s="630">
        <v>47</v>
      </c>
      <c r="C92" s="631"/>
      <c r="D92" s="631"/>
      <c r="E92" s="617"/>
      <c r="F92" s="631"/>
      <c r="G92" s="632"/>
      <c r="H92" s="618"/>
      <c r="I92" s="632"/>
      <c r="J92" s="633"/>
      <c r="K92" s="634"/>
      <c r="L92" s="633"/>
      <c r="M92" s="635"/>
      <c r="N92" s="635"/>
      <c r="O92" s="635"/>
      <c r="P92" s="636"/>
      <c r="Q92" s="635"/>
      <c r="R92" s="637"/>
      <c r="S92" s="637"/>
      <c r="T92" s="637"/>
      <c r="U92" s="636"/>
      <c r="V92" s="619"/>
      <c r="W92" s="623"/>
      <c r="X92" s="623"/>
      <c r="Y92" s="623"/>
      <c r="Z92" s="622"/>
      <c r="AA92" s="619"/>
      <c r="AB92" s="623"/>
      <c r="AC92" s="623"/>
      <c r="AD92" s="623"/>
      <c r="AE92" s="622"/>
      <c r="AF92" s="621"/>
      <c r="AG92" s="623"/>
      <c r="AH92" s="623"/>
      <c r="AI92" s="627"/>
      <c r="AJ92" s="628"/>
      <c r="AK92" s="638"/>
    </row>
    <row r="93" spans="2:37" s="615" customFormat="1" ht="15.75" customHeight="1">
      <c r="B93" s="630">
        <v>48</v>
      </c>
      <c r="C93" s="631"/>
      <c r="D93" s="631"/>
      <c r="E93" s="617"/>
      <c r="F93" s="631"/>
      <c r="G93" s="632"/>
      <c r="H93" s="618"/>
      <c r="I93" s="632"/>
      <c r="J93" s="633"/>
      <c r="K93" s="634"/>
      <c r="L93" s="633"/>
      <c r="M93" s="635"/>
      <c r="N93" s="635"/>
      <c r="O93" s="635"/>
      <c r="P93" s="636"/>
      <c r="Q93" s="635"/>
      <c r="R93" s="637"/>
      <c r="S93" s="637"/>
      <c r="T93" s="637"/>
      <c r="U93" s="636"/>
      <c r="V93" s="619"/>
      <c r="W93" s="623"/>
      <c r="X93" s="623"/>
      <c r="Y93" s="623"/>
      <c r="Z93" s="622"/>
      <c r="AA93" s="619"/>
      <c r="AB93" s="623"/>
      <c r="AC93" s="623"/>
      <c r="AD93" s="623"/>
      <c r="AE93" s="622"/>
      <c r="AF93" s="621"/>
      <c r="AG93" s="623"/>
      <c r="AH93" s="623"/>
      <c r="AI93" s="627"/>
      <c r="AJ93" s="628"/>
      <c r="AK93" s="638"/>
    </row>
    <row r="94" spans="2:37" s="615" customFormat="1" ht="15.75" customHeight="1">
      <c r="B94" s="630">
        <v>49</v>
      </c>
      <c r="C94" s="631"/>
      <c r="D94" s="631"/>
      <c r="E94" s="617"/>
      <c r="F94" s="631"/>
      <c r="G94" s="632"/>
      <c r="H94" s="618"/>
      <c r="I94" s="632"/>
      <c r="J94" s="633"/>
      <c r="K94" s="634"/>
      <c r="L94" s="633"/>
      <c r="M94" s="635"/>
      <c r="N94" s="635"/>
      <c r="O94" s="635"/>
      <c r="P94" s="636"/>
      <c r="Q94" s="635"/>
      <c r="R94" s="637"/>
      <c r="S94" s="637"/>
      <c r="T94" s="637"/>
      <c r="U94" s="636"/>
      <c r="V94" s="619"/>
      <c r="W94" s="623"/>
      <c r="X94" s="623"/>
      <c r="Y94" s="623"/>
      <c r="Z94" s="622"/>
      <c r="AA94" s="619"/>
      <c r="AB94" s="623"/>
      <c r="AC94" s="623"/>
      <c r="AD94" s="623"/>
      <c r="AE94" s="622"/>
      <c r="AF94" s="621"/>
      <c r="AG94" s="623"/>
      <c r="AH94" s="623"/>
      <c r="AI94" s="627"/>
      <c r="AJ94" s="628"/>
      <c r="AK94" s="638"/>
    </row>
    <row r="95" spans="2:37" s="615" customFormat="1" ht="15.75" customHeight="1">
      <c r="B95" s="630">
        <v>50</v>
      </c>
      <c r="C95" s="631"/>
      <c r="D95" s="631"/>
      <c r="E95" s="617"/>
      <c r="F95" s="631"/>
      <c r="G95" s="632"/>
      <c r="H95" s="618"/>
      <c r="I95" s="632"/>
      <c r="J95" s="633"/>
      <c r="K95" s="634"/>
      <c r="L95" s="633"/>
      <c r="M95" s="635"/>
      <c r="N95" s="635"/>
      <c r="O95" s="635"/>
      <c r="P95" s="636"/>
      <c r="Q95" s="635"/>
      <c r="R95" s="637"/>
      <c r="S95" s="637"/>
      <c r="T95" s="637"/>
      <c r="U95" s="636"/>
      <c r="V95" s="619"/>
      <c r="W95" s="623"/>
      <c r="X95" s="623"/>
      <c r="Y95" s="623"/>
      <c r="Z95" s="622"/>
      <c r="AA95" s="619"/>
      <c r="AB95" s="623"/>
      <c r="AC95" s="623"/>
      <c r="AD95" s="623"/>
      <c r="AE95" s="622"/>
      <c r="AF95" s="621"/>
      <c r="AG95" s="623"/>
      <c r="AH95" s="623"/>
      <c r="AI95" s="627"/>
      <c r="AJ95" s="628"/>
      <c r="AK95" s="638"/>
    </row>
    <row r="96" spans="2:37" s="615" customFormat="1" ht="15.75" customHeight="1">
      <c r="B96" s="630">
        <v>51</v>
      </c>
      <c r="C96" s="631"/>
      <c r="D96" s="631"/>
      <c r="E96" s="617"/>
      <c r="F96" s="631"/>
      <c r="G96" s="632"/>
      <c r="H96" s="618"/>
      <c r="I96" s="632"/>
      <c r="J96" s="633"/>
      <c r="K96" s="634"/>
      <c r="L96" s="633"/>
      <c r="M96" s="635"/>
      <c r="N96" s="635"/>
      <c r="O96" s="635"/>
      <c r="P96" s="636"/>
      <c r="Q96" s="635"/>
      <c r="R96" s="637"/>
      <c r="S96" s="637"/>
      <c r="T96" s="637"/>
      <c r="U96" s="636"/>
      <c r="V96" s="619"/>
      <c r="W96" s="623"/>
      <c r="X96" s="623"/>
      <c r="Y96" s="623"/>
      <c r="Z96" s="622"/>
      <c r="AA96" s="619"/>
      <c r="AB96" s="623"/>
      <c r="AC96" s="623"/>
      <c r="AD96" s="623"/>
      <c r="AE96" s="622"/>
      <c r="AF96" s="621"/>
      <c r="AG96" s="623"/>
      <c r="AH96" s="623"/>
      <c r="AI96" s="627"/>
      <c r="AJ96" s="628"/>
      <c r="AK96" s="638"/>
    </row>
    <row r="97" spans="2:37" s="615" customFormat="1" ht="15.75" customHeight="1" thickBot="1">
      <c r="B97" s="630">
        <v>52</v>
      </c>
      <c r="C97" s="631"/>
      <c r="D97" s="631"/>
      <c r="E97" s="631"/>
      <c r="F97" s="631"/>
      <c r="G97" s="632"/>
      <c r="H97" s="632"/>
      <c r="I97" s="632"/>
      <c r="J97" s="633"/>
      <c r="K97" s="634"/>
      <c r="L97" s="633"/>
      <c r="M97" s="635"/>
      <c r="N97" s="635"/>
      <c r="O97" s="635"/>
      <c r="P97" s="636"/>
      <c r="Q97" s="635"/>
      <c r="R97" s="637"/>
      <c r="S97" s="637"/>
      <c r="T97" s="637"/>
      <c r="U97" s="636"/>
      <c r="V97" s="639"/>
      <c r="W97" s="640"/>
      <c r="X97" s="640"/>
      <c r="Y97" s="640"/>
      <c r="Z97" s="641"/>
      <c r="AA97" s="639"/>
      <c r="AB97" s="640"/>
      <c r="AC97" s="640"/>
      <c r="AD97" s="640"/>
      <c r="AE97" s="641"/>
      <c r="AF97" s="621"/>
      <c r="AG97" s="623"/>
      <c r="AH97" s="623"/>
      <c r="AI97" s="627"/>
      <c r="AJ97" s="628"/>
      <c r="AK97" s="638"/>
    </row>
    <row r="98" spans="2:37" s="615" customFormat="1" ht="15.75" customHeight="1">
      <c r="B98" s="630">
        <v>53</v>
      </c>
      <c r="C98" s="631"/>
      <c r="D98" s="631"/>
      <c r="E98" s="617"/>
      <c r="F98" s="631"/>
      <c r="G98" s="632"/>
      <c r="H98" s="618"/>
      <c r="I98" s="632"/>
      <c r="J98" s="633"/>
      <c r="K98" s="634"/>
      <c r="L98" s="633"/>
      <c r="M98" s="635"/>
      <c r="N98" s="635"/>
      <c r="O98" s="635"/>
      <c r="P98" s="636"/>
      <c r="Q98" s="635"/>
      <c r="R98" s="637"/>
      <c r="S98" s="637"/>
      <c r="T98" s="637"/>
      <c r="U98" s="636"/>
      <c r="V98" s="619"/>
      <c r="W98" s="623"/>
      <c r="X98" s="623"/>
      <c r="Y98" s="623"/>
      <c r="Z98" s="622"/>
      <c r="AA98" s="619"/>
      <c r="AB98" s="623"/>
      <c r="AC98" s="623"/>
      <c r="AD98" s="623"/>
      <c r="AE98" s="622"/>
      <c r="AF98" s="621"/>
      <c r="AG98" s="623"/>
      <c r="AH98" s="623"/>
      <c r="AI98" s="627"/>
      <c r="AJ98" s="628"/>
      <c r="AK98" s="638"/>
    </row>
    <row r="99" spans="2:37" s="615" customFormat="1" ht="15.75" customHeight="1">
      <c r="B99" s="630">
        <v>54</v>
      </c>
      <c r="C99" s="631"/>
      <c r="D99" s="631"/>
      <c r="E99" s="617"/>
      <c r="F99" s="631"/>
      <c r="G99" s="632"/>
      <c r="H99" s="618"/>
      <c r="I99" s="632"/>
      <c r="J99" s="633"/>
      <c r="K99" s="634"/>
      <c r="L99" s="633"/>
      <c r="M99" s="635"/>
      <c r="N99" s="635"/>
      <c r="O99" s="635"/>
      <c r="P99" s="636"/>
      <c r="Q99" s="635"/>
      <c r="R99" s="637"/>
      <c r="S99" s="637"/>
      <c r="T99" s="637"/>
      <c r="U99" s="636"/>
      <c r="V99" s="619"/>
      <c r="W99" s="623"/>
      <c r="X99" s="623"/>
      <c r="Y99" s="623"/>
      <c r="Z99" s="622"/>
      <c r="AA99" s="619"/>
      <c r="AB99" s="623"/>
      <c r="AC99" s="623"/>
      <c r="AD99" s="623"/>
      <c r="AE99" s="622"/>
      <c r="AF99" s="621"/>
      <c r="AG99" s="623"/>
      <c r="AH99" s="623"/>
      <c r="AI99" s="627"/>
      <c r="AJ99" s="628"/>
      <c r="AK99" s="638"/>
    </row>
    <row r="100" spans="2:37" s="615" customFormat="1" ht="15.75" customHeight="1">
      <c r="B100" s="630">
        <v>55</v>
      </c>
      <c r="C100" s="631"/>
      <c r="D100" s="631"/>
      <c r="E100" s="617"/>
      <c r="F100" s="631"/>
      <c r="G100" s="632"/>
      <c r="H100" s="618"/>
      <c r="I100" s="632"/>
      <c r="J100" s="633"/>
      <c r="K100" s="634"/>
      <c r="L100" s="633"/>
      <c r="M100" s="635"/>
      <c r="N100" s="635"/>
      <c r="O100" s="635"/>
      <c r="P100" s="636"/>
      <c r="Q100" s="635"/>
      <c r="R100" s="637"/>
      <c r="S100" s="637"/>
      <c r="T100" s="637"/>
      <c r="U100" s="636"/>
      <c r="V100" s="619"/>
      <c r="W100" s="623"/>
      <c r="X100" s="623"/>
      <c r="Y100" s="623"/>
      <c r="Z100" s="622"/>
      <c r="AA100" s="619"/>
      <c r="AB100" s="623"/>
      <c r="AC100" s="623"/>
      <c r="AD100" s="623"/>
      <c r="AE100" s="622"/>
      <c r="AF100" s="621"/>
      <c r="AG100" s="623"/>
      <c r="AH100" s="623"/>
      <c r="AI100" s="627"/>
      <c r="AJ100" s="628"/>
      <c r="AK100" s="638"/>
    </row>
    <row r="101" spans="2:37" s="615" customFormat="1" ht="15.75" customHeight="1">
      <c r="B101" s="630">
        <v>56</v>
      </c>
      <c r="C101" s="631"/>
      <c r="D101" s="631"/>
      <c r="E101" s="617"/>
      <c r="F101" s="631"/>
      <c r="G101" s="632"/>
      <c r="H101" s="618"/>
      <c r="I101" s="632"/>
      <c r="J101" s="633"/>
      <c r="K101" s="634"/>
      <c r="L101" s="633"/>
      <c r="M101" s="635"/>
      <c r="N101" s="635"/>
      <c r="O101" s="635"/>
      <c r="P101" s="636"/>
      <c r="Q101" s="635"/>
      <c r="R101" s="637"/>
      <c r="S101" s="637"/>
      <c r="T101" s="637"/>
      <c r="U101" s="636"/>
      <c r="V101" s="619"/>
      <c r="W101" s="623"/>
      <c r="X101" s="623"/>
      <c r="Y101" s="623"/>
      <c r="Z101" s="622"/>
      <c r="AA101" s="619"/>
      <c r="AB101" s="623"/>
      <c r="AC101" s="623"/>
      <c r="AD101" s="623"/>
      <c r="AE101" s="622"/>
      <c r="AF101" s="621"/>
      <c r="AG101" s="623"/>
      <c r="AH101" s="623"/>
      <c r="AI101" s="627"/>
      <c r="AJ101" s="628"/>
      <c r="AK101" s="638"/>
    </row>
    <row r="102" spans="2:37" s="615" customFormat="1" ht="15.75" customHeight="1">
      <c r="B102" s="630">
        <v>57</v>
      </c>
      <c r="C102" s="631"/>
      <c r="D102" s="631"/>
      <c r="E102" s="617"/>
      <c r="F102" s="631"/>
      <c r="G102" s="632"/>
      <c r="H102" s="618"/>
      <c r="I102" s="632"/>
      <c r="J102" s="633"/>
      <c r="K102" s="634"/>
      <c r="L102" s="633"/>
      <c r="M102" s="635"/>
      <c r="N102" s="635"/>
      <c r="O102" s="635"/>
      <c r="P102" s="636"/>
      <c r="Q102" s="635"/>
      <c r="R102" s="637"/>
      <c r="S102" s="637"/>
      <c r="T102" s="637"/>
      <c r="U102" s="636"/>
      <c r="V102" s="619"/>
      <c r="W102" s="623"/>
      <c r="X102" s="623"/>
      <c r="Y102" s="623"/>
      <c r="Z102" s="622"/>
      <c r="AA102" s="619"/>
      <c r="AB102" s="623"/>
      <c r="AC102" s="623"/>
      <c r="AD102" s="623"/>
      <c r="AE102" s="622"/>
      <c r="AF102" s="621"/>
      <c r="AG102" s="623"/>
      <c r="AH102" s="623"/>
      <c r="AI102" s="627"/>
      <c r="AJ102" s="628"/>
      <c r="AK102" s="638"/>
    </row>
    <row r="103" spans="2:37" s="615" customFormat="1" ht="15.75" customHeight="1">
      <c r="B103" s="630">
        <v>58</v>
      </c>
      <c r="C103" s="631"/>
      <c r="D103" s="631"/>
      <c r="E103" s="617"/>
      <c r="F103" s="631"/>
      <c r="G103" s="632"/>
      <c r="H103" s="618"/>
      <c r="I103" s="632"/>
      <c r="J103" s="633"/>
      <c r="K103" s="634"/>
      <c r="L103" s="633"/>
      <c r="M103" s="635"/>
      <c r="N103" s="635"/>
      <c r="O103" s="635"/>
      <c r="P103" s="636"/>
      <c r="Q103" s="635"/>
      <c r="R103" s="637"/>
      <c r="S103" s="637"/>
      <c r="T103" s="637"/>
      <c r="U103" s="636"/>
      <c r="V103" s="619"/>
      <c r="W103" s="623"/>
      <c r="X103" s="623"/>
      <c r="Y103" s="623"/>
      <c r="Z103" s="622"/>
      <c r="AA103" s="619"/>
      <c r="AB103" s="623"/>
      <c r="AC103" s="623"/>
      <c r="AD103" s="623"/>
      <c r="AE103" s="622"/>
      <c r="AF103" s="621"/>
      <c r="AG103" s="623"/>
      <c r="AH103" s="623"/>
      <c r="AI103" s="627"/>
      <c r="AJ103" s="628"/>
      <c r="AK103" s="638"/>
    </row>
    <row r="104" spans="2:37" s="615" customFormat="1" ht="15.75" customHeight="1">
      <c r="B104" s="630">
        <v>59</v>
      </c>
      <c r="C104" s="631"/>
      <c r="D104" s="631"/>
      <c r="E104" s="617"/>
      <c r="F104" s="631"/>
      <c r="G104" s="632"/>
      <c r="H104" s="618"/>
      <c r="I104" s="632"/>
      <c r="J104" s="633"/>
      <c r="K104" s="634"/>
      <c r="L104" s="633"/>
      <c r="M104" s="635"/>
      <c r="N104" s="635"/>
      <c r="O104" s="635"/>
      <c r="P104" s="636"/>
      <c r="Q104" s="635"/>
      <c r="R104" s="637"/>
      <c r="S104" s="637"/>
      <c r="T104" s="637"/>
      <c r="U104" s="636"/>
      <c r="V104" s="619"/>
      <c r="W104" s="623"/>
      <c r="X104" s="623"/>
      <c r="Y104" s="623"/>
      <c r="Z104" s="622"/>
      <c r="AA104" s="619"/>
      <c r="AB104" s="623"/>
      <c r="AC104" s="623"/>
      <c r="AD104" s="623"/>
      <c r="AE104" s="622"/>
      <c r="AF104" s="621"/>
      <c r="AG104" s="623"/>
      <c r="AH104" s="623"/>
      <c r="AI104" s="627"/>
      <c r="AJ104" s="628"/>
      <c r="AK104" s="638"/>
    </row>
    <row r="105" spans="2:37" s="615" customFormat="1" ht="15.75" customHeight="1">
      <c r="B105" s="630">
        <v>60</v>
      </c>
      <c r="C105" s="631"/>
      <c r="D105" s="631"/>
      <c r="E105" s="617"/>
      <c r="F105" s="631"/>
      <c r="G105" s="632"/>
      <c r="H105" s="618"/>
      <c r="I105" s="632"/>
      <c r="J105" s="633"/>
      <c r="K105" s="634"/>
      <c r="L105" s="633"/>
      <c r="M105" s="635"/>
      <c r="N105" s="635"/>
      <c r="O105" s="635"/>
      <c r="P105" s="636"/>
      <c r="Q105" s="635"/>
      <c r="R105" s="637"/>
      <c r="S105" s="637"/>
      <c r="T105" s="637"/>
      <c r="U105" s="636"/>
      <c r="V105" s="619"/>
      <c r="W105" s="623"/>
      <c r="X105" s="623"/>
      <c r="Y105" s="623"/>
      <c r="Z105" s="622"/>
      <c r="AA105" s="619"/>
      <c r="AB105" s="623"/>
      <c r="AC105" s="623"/>
      <c r="AD105" s="623"/>
      <c r="AE105" s="622"/>
      <c r="AF105" s="621"/>
      <c r="AG105" s="623"/>
      <c r="AH105" s="623"/>
      <c r="AI105" s="627"/>
      <c r="AJ105" s="628"/>
      <c r="AK105" s="638"/>
    </row>
    <row r="106" spans="2:37" s="615" customFormat="1" ht="15.75" customHeight="1">
      <c r="B106" s="630">
        <v>61</v>
      </c>
      <c r="C106" s="631"/>
      <c r="D106" s="631"/>
      <c r="E106" s="617"/>
      <c r="F106" s="631"/>
      <c r="G106" s="632"/>
      <c r="H106" s="618"/>
      <c r="I106" s="632"/>
      <c r="J106" s="633"/>
      <c r="K106" s="634"/>
      <c r="L106" s="633"/>
      <c r="M106" s="635"/>
      <c r="N106" s="635"/>
      <c r="O106" s="635"/>
      <c r="P106" s="636"/>
      <c r="Q106" s="635"/>
      <c r="R106" s="637"/>
      <c r="S106" s="637"/>
      <c r="T106" s="637"/>
      <c r="U106" s="636"/>
      <c r="V106" s="619"/>
      <c r="W106" s="623"/>
      <c r="X106" s="623"/>
      <c r="Y106" s="623"/>
      <c r="Z106" s="622"/>
      <c r="AA106" s="619"/>
      <c r="AB106" s="623"/>
      <c r="AC106" s="623"/>
      <c r="AD106" s="623"/>
      <c r="AE106" s="622"/>
      <c r="AF106" s="621"/>
      <c r="AG106" s="623"/>
      <c r="AH106" s="623"/>
      <c r="AI106" s="627"/>
      <c r="AJ106" s="628"/>
      <c r="AK106" s="638"/>
    </row>
    <row r="107" spans="2:37" s="615" customFormat="1" ht="15.75" customHeight="1">
      <c r="B107" s="630">
        <v>62</v>
      </c>
      <c r="C107" s="631"/>
      <c r="D107" s="631"/>
      <c r="E107" s="617"/>
      <c r="F107" s="631"/>
      <c r="G107" s="632"/>
      <c r="H107" s="618"/>
      <c r="I107" s="632"/>
      <c r="J107" s="633"/>
      <c r="K107" s="634"/>
      <c r="L107" s="633"/>
      <c r="M107" s="635"/>
      <c r="N107" s="635"/>
      <c r="O107" s="635"/>
      <c r="P107" s="636"/>
      <c r="Q107" s="635"/>
      <c r="R107" s="637"/>
      <c r="S107" s="637"/>
      <c r="T107" s="637"/>
      <c r="U107" s="636"/>
      <c r="V107" s="619"/>
      <c r="W107" s="623"/>
      <c r="X107" s="623"/>
      <c r="Y107" s="623"/>
      <c r="Z107" s="622"/>
      <c r="AA107" s="619"/>
      <c r="AB107" s="623"/>
      <c r="AC107" s="623"/>
      <c r="AD107" s="623"/>
      <c r="AE107" s="622"/>
      <c r="AF107" s="621"/>
      <c r="AG107" s="623"/>
      <c r="AH107" s="623"/>
      <c r="AI107" s="627"/>
      <c r="AJ107" s="628"/>
      <c r="AK107" s="638"/>
    </row>
    <row r="108" spans="2:37" s="615" customFormat="1" ht="15.75" customHeight="1">
      <c r="B108" s="630">
        <v>63</v>
      </c>
      <c r="C108" s="631"/>
      <c r="D108" s="631"/>
      <c r="E108" s="617"/>
      <c r="F108" s="631"/>
      <c r="G108" s="632"/>
      <c r="H108" s="618"/>
      <c r="I108" s="632"/>
      <c r="J108" s="633"/>
      <c r="K108" s="634"/>
      <c r="L108" s="633"/>
      <c r="M108" s="635"/>
      <c r="N108" s="635"/>
      <c r="O108" s="635"/>
      <c r="P108" s="636"/>
      <c r="Q108" s="635"/>
      <c r="R108" s="637"/>
      <c r="S108" s="637"/>
      <c r="T108" s="637"/>
      <c r="U108" s="636"/>
      <c r="V108" s="619"/>
      <c r="W108" s="623"/>
      <c r="X108" s="623"/>
      <c r="Y108" s="623"/>
      <c r="Z108" s="622"/>
      <c r="AA108" s="619"/>
      <c r="AB108" s="623"/>
      <c r="AC108" s="623"/>
      <c r="AD108" s="623"/>
      <c r="AE108" s="622"/>
      <c r="AF108" s="621"/>
      <c r="AG108" s="623"/>
      <c r="AH108" s="623"/>
      <c r="AI108" s="627"/>
      <c r="AJ108" s="628"/>
      <c r="AK108" s="638"/>
    </row>
    <row r="109" spans="2:37" ht="15.75" customHeight="1">
      <c r="B109" s="630">
        <v>64</v>
      </c>
      <c r="C109" s="631"/>
      <c r="D109" s="631"/>
      <c r="E109" s="617"/>
      <c r="F109" s="631"/>
      <c r="G109" s="632"/>
      <c r="H109" s="618"/>
      <c r="I109" s="632"/>
      <c r="J109" s="633"/>
      <c r="K109" s="634"/>
      <c r="L109" s="633"/>
      <c r="M109" s="635"/>
      <c r="N109" s="635"/>
      <c r="O109" s="635"/>
      <c r="P109" s="636"/>
      <c r="Q109" s="635"/>
      <c r="R109" s="637"/>
      <c r="S109" s="637"/>
      <c r="T109" s="637"/>
      <c r="U109" s="636"/>
      <c r="V109" s="619"/>
      <c r="W109" s="623"/>
      <c r="X109" s="623"/>
      <c r="Y109" s="623"/>
      <c r="Z109" s="622"/>
      <c r="AA109" s="619"/>
      <c r="AB109" s="623"/>
      <c r="AC109" s="623"/>
      <c r="AD109" s="623"/>
      <c r="AE109" s="622"/>
      <c r="AF109" s="621"/>
      <c r="AG109" s="623"/>
      <c r="AH109" s="623"/>
      <c r="AI109" s="627"/>
      <c r="AJ109" s="628"/>
      <c r="AK109" s="638"/>
    </row>
    <row r="110" spans="2:37" ht="15.75" customHeight="1">
      <c r="B110" s="630">
        <v>65</v>
      </c>
      <c r="C110" s="631"/>
      <c r="D110" s="631"/>
      <c r="E110" s="617"/>
      <c r="F110" s="631"/>
      <c r="G110" s="632"/>
      <c r="H110" s="618"/>
      <c r="I110" s="632"/>
      <c r="J110" s="633"/>
      <c r="K110" s="634"/>
      <c r="L110" s="633"/>
      <c r="M110" s="635"/>
      <c r="N110" s="635"/>
      <c r="O110" s="635"/>
      <c r="P110" s="636"/>
      <c r="Q110" s="635"/>
      <c r="R110" s="637"/>
      <c r="S110" s="637"/>
      <c r="T110" s="637"/>
      <c r="U110" s="636"/>
      <c r="V110" s="619"/>
      <c r="W110" s="623"/>
      <c r="X110" s="623"/>
      <c r="Y110" s="623"/>
      <c r="Z110" s="622"/>
      <c r="AA110" s="619"/>
      <c r="AB110" s="623"/>
      <c r="AC110" s="623"/>
      <c r="AD110" s="623"/>
      <c r="AE110" s="622"/>
      <c r="AF110" s="621"/>
      <c r="AG110" s="623"/>
      <c r="AH110" s="623"/>
      <c r="AI110" s="627"/>
      <c r="AJ110" s="628"/>
      <c r="AK110" s="638"/>
    </row>
    <row r="111" spans="2:37" ht="15.75" customHeight="1">
      <c r="B111" s="630">
        <v>66</v>
      </c>
      <c r="C111" s="631"/>
      <c r="D111" s="631"/>
      <c r="E111" s="617"/>
      <c r="F111" s="631"/>
      <c r="G111" s="632"/>
      <c r="H111" s="618"/>
      <c r="I111" s="632"/>
      <c r="J111" s="633"/>
      <c r="K111" s="634"/>
      <c r="L111" s="633"/>
      <c r="M111" s="635"/>
      <c r="N111" s="635"/>
      <c r="O111" s="635"/>
      <c r="P111" s="636"/>
      <c r="Q111" s="635"/>
      <c r="R111" s="637"/>
      <c r="S111" s="637"/>
      <c r="T111" s="637"/>
      <c r="U111" s="636"/>
      <c r="V111" s="619"/>
      <c r="W111" s="623"/>
      <c r="X111" s="623"/>
      <c r="Y111" s="623"/>
      <c r="Z111" s="622"/>
      <c r="AA111" s="619"/>
      <c r="AB111" s="623"/>
      <c r="AC111" s="623"/>
      <c r="AD111" s="623"/>
      <c r="AE111" s="622"/>
      <c r="AF111" s="621"/>
      <c r="AG111" s="623"/>
      <c r="AH111" s="623"/>
      <c r="AI111" s="627"/>
      <c r="AJ111" s="628"/>
      <c r="AK111" s="638"/>
    </row>
    <row r="112" spans="2:37" ht="15.75" customHeight="1">
      <c r="B112" s="630">
        <v>67</v>
      </c>
      <c r="C112" s="631"/>
      <c r="D112" s="631"/>
      <c r="E112" s="617"/>
      <c r="F112" s="631"/>
      <c r="G112" s="632"/>
      <c r="H112" s="618"/>
      <c r="I112" s="632"/>
      <c r="J112" s="633"/>
      <c r="K112" s="634"/>
      <c r="L112" s="633"/>
      <c r="M112" s="635"/>
      <c r="N112" s="635"/>
      <c r="O112" s="635"/>
      <c r="P112" s="636"/>
      <c r="Q112" s="635"/>
      <c r="R112" s="637"/>
      <c r="S112" s="637"/>
      <c r="T112" s="637"/>
      <c r="U112" s="636"/>
      <c r="V112" s="619"/>
      <c r="W112" s="623"/>
      <c r="X112" s="623"/>
      <c r="Y112" s="623"/>
      <c r="Z112" s="622"/>
      <c r="AA112" s="619"/>
      <c r="AB112" s="623"/>
      <c r="AC112" s="623"/>
      <c r="AD112" s="623"/>
      <c r="AE112" s="622"/>
      <c r="AF112" s="621"/>
      <c r="AG112" s="623"/>
      <c r="AH112" s="623"/>
      <c r="AI112" s="627"/>
      <c r="AJ112" s="628"/>
      <c r="AK112" s="638"/>
    </row>
    <row r="113" spans="2:37" ht="15.75" customHeight="1">
      <c r="B113" s="630">
        <v>68</v>
      </c>
      <c r="C113" s="631"/>
      <c r="D113" s="631"/>
      <c r="E113" s="617"/>
      <c r="F113" s="631"/>
      <c r="G113" s="632"/>
      <c r="H113" s="618"/>
      <c r="I113" s="632"/>
      <c r="J113" s="633"/>
      <c r="K113" s="634"/>
      <c r="L113" s="633"/>
      <c r="M113" s="635"/>
      <c r="N113" s="635"/>
      <c r="O113" s="635"/>
      <c r="P113" s="636"/>
      <c r="Q113" s="635"/>
      <c r="R113" s="637"/>
      <c r="S113" s="637"/>
      <c r="T113" s="637"/>
      <c r="U113" s="636"/>
      <c r="V113" s="619"/>
      <c r="W113" s="623"/>
      <c r="X113" s="623"/>
      <c r="Y113" s="623"/>
      <c r="Z113" s="622"/>
      <c r="AA113" s="619"/>
      <c r="AB113" s="623"/>
      <c r="AC113" s="623"/>
      <c r="AD113" s="623"/>
      <c r="AE113" s="622"/>
      <c r="AF113" s="621"/>
      <c r="AG113" s="623"/>
      <c r="AH113" s="623"/>
      <c r="AI113" s="627"/>
      <c r="AJ113" s="628"/>
      <c r="AK113" s="638"/>
    </row>
    <row r="114" spans="2:37" ht="15.75" customHeight="1">
      <c r="B114" s="630">
        <v>69</v>
      </c>
      <c r="C114" s="631"/>
      <c r="D114" s="631"/>
      <c r="E114" s="617"/>
      <c r="F114" s="631"/>
      <c r="G114" s="632"/>
      <c r="H114" s="618"/>
      <c r="I114" s="632"/>
      <c r="J114" s="633"/>
      <c r="K114" s="634"/>
      <c r="L114" s="633"/>
      <c r="M114" s="635"/>
      <c r="N114" s="635"/>
      <c r="O114" s="635"/>
      <c r="P114" s="636"/>
      <c r="Q114" s="635"/>
      <c r="R114" s="637"/>
      <c r="S114" s="637"/>
      <c r="T114" s="637"/>
      <c r="U114" s="636"/>
      <c r="V114" s="619"/>
      <c r="W114" s="623"/>
      <c r="X114" s="623"/>
      <c r="Y114" s="623"/>
      <c r="Z114" s="622"/>
      <c r="AA114" s="619"/>
      <c r="AB114" s="623"/>
      <c r="AC114" s="623"/>
      <c r="AD114" s="623"/>
      <c r="AE114" s="622"/>
      <c r="AF114" s="621"/>
      <c r="AG114" s="623"/>
      <c r="AH114" s="623"/>
      <c r="AI114" s="627"/>
      <c r="AJ114" s="628"/>
      <c r="AK114" s="638"/>
    </row>
    <row r="115" spans="2:37" ht="15.75" customHeight="1">
      <c r="B115" s="630">
        <v>70</v>
      </c>
      <c r="C115" s="631"/>
      <c r="D115" s="631"/>
      <c r="E115" s="617"/>
      <c r="F115" s="631"/>
      <c r="G115" s="632"/>
      <c r="H115" s="618"/>
      <c r="I115" s="632"/>
      <c r="J115" s="633"/>
      <c r="K115" s="634"/>
      <c r="L115" s="633"/>
      <c r="M115" s="635"/>
      <c r="N115" s="635"/>
      <c r="O115" s="635"/>
      <c r="P115" s="636"/>
      <c r="Q115" s="635"/>
      <c r="R115" s="637"/>
      <c r="S115" s="637"/>
      <c r="T115" s="637"/>
      <c r="U115" s="636"/>
      <c r="V115" s="619"/>
      <c r="W115" s="623"/>
      <c r="X115" s="623"/>
      <c r="Y115" s="623"/>
      <c r="Z115" s="622"/>
      <c r="AA115" s="619"/>
      <c r="AB115" s="623"/>
      <c r="AC115" s="623"/>
      <c r="AD115" s="623"/>
      <c r="AE115" s="622"/>
      <c r="AF115" s="621"/>
      <c r="AG115" s="623"/>
      <c r="AH115" s="623"/>
      <c r="AI115" s="627"/>
      <c r="AJ115" s="628"/>
      <c r="AK115" s="638"/>
    </row>
    <row r="116" spans="2:37" s="615" customFormat="1" ht="15.75" customHeight="1" thickBot="1">
      <c r="B116" s="642"/>
      <c r="C116" s="643" t="s">
        <v>220</v>
      </c>
      <c r="D116" s="644"/>
      <c r="E116" s="644"/>
      <c r="F116" s="644"/>
      <c r="G116" s="644"/>
      <c r="H116" s="644"/>
      <c r="I116" s="645">
        <v>773</v>
      </c>
      <c r="J116" s="646">
        <v>46.232437224691282</v>
      </c>
      <c r="K116" s="647">
        <v>37.121336803014074</v>
      </c>
      <c r="L116" s="648">
        <v>0</v>
      </c>
      <c r="M116" s="649">
        <v>0</v>
      </c>
      <c r="N116" s="649">
        <v>0</v>
      </c>
      <c r="O116" s="649">
        <v>1.1100000000000001</v>
      </c>
      <c r="P116" s="650">
        <v>4.877983928867188</v>
      </c>
      <c r="Q116" s="651">
        <v>6.9218421622328119</v>
      </c>
      <c r="R116" s="649">
        <v>7.6056194476562498</v>
      </c>
      <c r="S116" s="652">
        <v>12.018904204375</v>
      </c>
      <c r="T116" s="652">
        <v>7.1012959887499996</v>
      </c>
      <c r="U116" s="650">
        <v>3.4736750000000001</v>
      </c>
      <c r="V116" s="653">
        <v>1421.6692966104085</v>
      </c>
      <c r="W116" s="653">
        <v>1371.4961012855799</v>
      </c>
      <c r="X116" s="653">
        <v>1376.7521645062993</v>
      </c>
      <c r="Y116" s="653">
        <v>1388.6375989843509</v>
      </c>
      <c r="Z116" s="653">
        <v>1380.7333018281622</v>
      </c>
      <c r="AA116" s="653">
        <v>1397.3210023842796</v>
      </c>
      <c r="AB116" s="653">
        <v>1415.1527521167425</v>
      </c>
      <c r="AC116" s="653">
        <v>1432.2332576489027</v>
      </c>
      <c r="AD116" s="653">
        <v>1450.5673185064184</v>
      </c>
      <c r="AE116" s="653">
        <v>1468.1598289655637</v>
      </c>
      <c r="AF116" s="653">
        <v>1437</v>
      </c>
      <c r="AG116" s="653">
        <v>1437</v>
      </c>
      <c r="AH116" s="653">
        <v>1376.7521645062993</v>
      </c>
      <c r="AI116" s="654"/>
      <c r="AJ116" s="655"/>
      <c r="AK116" s="656"/>
    </row>
    <row r="117" spans="2:37" s="615" customFormat="1"/>
    <row r="118" spans="2:37" s="615" customFormat="1"/>
    <row r="119" spans="2:37" s="615" customFormat="1"/>
    <row r="120" spans="2:37" s="615" customFormat="1"/>
    <row r="121" spans="2:37" s="615" customFormat="1"/>
    <row r="122" spans="2:37" s="615" customFormat="1"/>
    <row r="123" spans="2:37" s="615" customFormat="1"/>
    <row r="124" spans="2:37" s="615" customFormat="1"/>
    <row r="125" spans="2:37" s="615" customFormat="1"/>
    <row r="126" spans="2:37" s="615"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1"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5FFFF"/>
    <pageSetUpPr fitToPage="1"/>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47" t="s">
        <v>94</v>
      </c>
      <c r="F1" s="44"/>
    </row>
    <row r="2" spans="1:19">
      <c r="A2" s="47"/>
    </row>
    <row r="3" spans="1:19">
      <c r="A3" s="47" t="s">
        <v>422</v>
      </c>
    </row>
    <row r="6" spans="1:19">
      <c r="B6" s="157" t="s">
        <v>423</v>
      </c>
      <c r="C6" s="536"/>
      <c r="D6" s="536"/>
      <c r="E6" s="536"/>
      <c r="F6" s="536"/>
      <c r="G6" s="536"/>
      <c r="H6" s="536"/>
      <c r="I6" s="536"/>
      <c r="J6" s="536"/>
      <c r="K6" s="536"/>
      <c r="L6" s="536"/>
      <c r="M6" s="536"/>
      <c r="N6" s="536"/>
      <c r="O6" s="536"/>
      <c r="P6" s="536"/>
      <c r="Q6" s="536"/>
      <c r="R6" s="536"/>
      <c r="S6" s="536"/>
    </row>
    <row r="7" spans="1:19" ht="13.5" thickBot="1">
      <c r="B7" s="536"/>
      <c r="C7" s="536"/>
      <c r="D7" s="536"/>
      <c r="E7" s="536"/>
      <c r="F7" s="536"/>
      <c r="G7" s="536"/>
      <c r="H7" s="536"/>
      <c r="I7" s="536"/>
      <c r="J7" s="536"/>
      <c r="K7" s="536"/>
      <c r="L7" s="536"/>
      <c r="M7" s="536"/>
      <c r="N7" s="536"/>
      <c r="O7" s="536"/>
      <c r="P7" s="536"/>
      <c r="Q7" s="536"/>
      <c r="R7" s="536"/>
      <c r="S7" s="536"/>
    </row>
    <row r="8" spans="1:19" ht="15" customHeight="1">
      <c r="B8" s="1529"/>
      <c r="C8" s="1530"/>
      <c r="D8" s="657" t="s">
        <v>424</v>
      </c>
      <c r="E8" s="658"/>
      <c r="F8" s="659"/>
      <c r="G8" s="660" t="s">
        <v>425</v>
      </c>
      <c r="H8" s="658"/>
      <c r="I8" s="659"/>
      <c r="J8" s="536"/>
      <c r="K8" s="536"/>
      <c r="L8" s="536"/>
      <c r="M8" s="536"/>
      <c r="N8" s="536"/>
      <c r="O8" s="536"/>
      <c r="P8" s="536"/>
      <c r="Q8" s="536"/>
      <c r="R8" s="536"/>
      <c r="S8" s="536"/>
    </row>
    <row r="9" spans="1:19" ht="15" customHeight="1">
      <c r="B9" s="1531"/>
      <c r="C9" s="1532"/>
      <c r="D9" s="661" t="s">
        <v>426</v>
      </c>
      <c r="E9" s="662" t="s">
        <v>427</v>
      </c>
      <c r="F9" s="663" t="s">
        <v>245</v>
      </c>
      <c r="G9" s="664" t="s">
        <v>426</v>
      </c>
      <c r="H9" s="662" t="s">
        <v>427</v>
      </c>
      <c r="I9" s="663" t="s">
        <v>245</v>
      </c>
      <c r="J9" s="536"/>
      <c r="K9" s="536"/>
      <c r="L9" s="536"/>
      <c r="M9" s="536"/>
      <c r="N9" s="536"/>
      <c r="O9" s="536"/>
      <c r="P9" s="536"/>
      <c r="Q9" s="536"/>
      <c r="R9" s="536"/>
      <c r="S9" s="536"/>
    </row>
    <row r="10" spans="1:19" ht="15" customHeight="1">
      <c r="B10" s="1533" t="s">
        <v>428</v>
      </c>
      <c r="C10" s="1534"/>
      <c r="D10" s="665">
        <v>14</v>
      </c>
      <c r="E10" s="665">
        <v>87</v>
      </c>
      <c r="F10" s="666">
        <v>195</v>
      </c>
      <c r="G10" s="667">
        <v>14</v>
      </c>
      <c r="H10" s="665">
        <v>87</v>
      </c>
      <c r="I10" s="666">
        <v>196</v>
      </c>
      <c r="J10" s="536"/>
      <c r="K10" s="536"/>
      <c r="L10" s="536"/>
      <c r="M10" s="536"/>
      <c r="N10" s="536"/>
      <c r="O10" s="536"/>
      <c r="P10" s="536"/>
      <c r="Q10" s="536"/>
      <c r="R10" s="536"/>
      <c r="S10" s="536"/>
    </row>
    <row r="11" spans="1:19" ht="27" customHeight="1">
      <c r="B11" s="1535" t="s">
        <v>429</v>
      </c>
      <c r="C11" s="1536"/>
      <c r="D11" s="668">
        <v>1</v>
      </c>
      <c r="E11" s="668">
        <v>4</v>
      </c>
      <c r="F11" s="669">
        <v>19</v>
      </c>
      <c r="G11" s="670">
        <v>0</v>
      </c>
      <c r="H11" s="668">
        <v>2</v>
      </c>
      <c r="I11" s="669">
        <v>6</v>
      </c>
      <c r="J11" s="536"/>
      <c r="K11" s="536"/>
      <c r="L11" s="536"/>
      <c r="M11" s="536"/>
      <c r="N11" s="536"/>
      <c r="O11" s="536"/>
      <c r="P11" s="536"/>
      <c r="Q11" s="536"/>
      <c r="R11" s="536"/>
      <c r="S11" s="536"/>
    </row>
    <row r="12" spans="1:19" ht="30" customHeight="1" thickBot="1">
      <c r="B12" s="1537" t="s">
        <v>430</v>
      </c>
      <c r="C12" s="1538"/>
      <c r="D12" s="668">
        <v>0</v>
      </c>
      <c r="E12" s="668">
        <v>2</v>
      </c>
      <c r="F12" s="669">
        <v>14</v>
      </c>
      <c r="G12" s="670">
        <v>0</v>
      </c>
      <c r="H12" s="668">
        <v>0</v>
      </c>
      <c r="I12" s="669">
        <v>1</v>
      </c>
      <c r="J12" s="536"/>
      <c r="K12" s="536"/>
      <c r="L12" s="536"/>
      <c r="M12" s="536"/>
      <c r="N12" s="536"/>
      <c r="O12" s="536"/>
      <c r="P12" s="536"/>
      <c r="Q12" s="536"/>
      <c r="R12" s="536"/>
      <c r="S12" s="536"/>
    </row>
    <row r="13" spans="1:19">
      <c r="B13" s="536"/>
      <c r="C13" s="536"/>
      <c r="D13" s="536"/>
      <c r="E13" s="536"/>
      <c r="F13" s="536"/>
      <c r="G13" s="536"/>
      <c r="H13" s="536"/>
      <c r="I13" s="536"/>
      <c r="J13" s="536"/>
      <c r="K13" s="536"/>
      <c r="L13" s="536"/>
      <c r="M13" s="536"/>
      <c r="N13" s="536"/>
      <c r="O13" s="536"/>
      <c r="P13" s="536"/>
      <c r="Q13" s="536"/>
      <c r="R13" s="536"/>
      <c r="S13" s="536"/>
    </row>
    <row r="14" spans="1:19">
      <c r="B14" s="157" t="s">
        <v>431</v>
      </c>
      <c r="C14" s="536"/>
      <c r="D14" s="536"/>
      <c r="E14" s="536"/>
      <c r="F14" s="536"/>
      <c r="G14" s="536"/>
      <c r="H14" s="536"/>
      <c r="I14" s="536"/>
      <c r="J14" s="536"/>
      <c r="K14" s="536"/>
      <c r="L14" s="536"/>
      <c r="M14" s="536"/>
      <c r="N14" s="536"/>
      <c r="O14" s="536"/>
      <c r="P14" s="536"/>
      <c r="Q14" s="536"/>
      <c r="R14" s="536"/>
      <c r="S14" s="536"/>
    </row>
    <row r="15" spans="1:19" ht="13.5" thickBot="1">
      <c r="B15" s="536"/>
      <c r="C15" s="536"/>
      <c r="D15" s="536"/>
      <c r="E15" s="536"/>
      <c r="F15" s="536"/>
      <c r="G15" s="536"/>
      <c r="H15" s="536"/>
      <c r="I15" s="536"/>
      <c r="J15" s="536"/>
      <c r="K15" s="536"/>
      <c r="L15" s="536"/>
      <c r="M15" s="536"/>
      <c r="N15" s="536"/>
      <c r="O15" s="536"/>
      <c r="P15" s="536"/>
      <c r="Q15" s="536"/>
      <c r="R15" s="536"/>
      <c r="S15" s="536"/>
    </row>
    <row r="16" spans="1:19">
      <c r="B16" s="1539" t="s">
        <v>432</v>
      </c>
      <c r="C16" s="1540"/>
      <c r="D16" s="660" t="s">
        <v>211</v>
      </c>
      <c r="E16" s="658"/>
      <c r="F16" s="659"/>
      <c r="G16" s="660" t="s">
        <v>212</v>
      </c>
      <c r="H16" s="658"/>
      <c r="I16" s="659"/>
      <c r="J16" s="536"/>
      <c r="K16" s="536"/>
      <c r="L16" s="536"/>
      <c r="M16" s="536"/>
      <c r="N16" s="536"/>
      <c r="O16" s="536"/>
      <c r="P16" s="536"/>
      <c r="Q16" s="536"/>
      <c r="R16" s="536"/>
      <c r="S16" s="536"/>
    </row>
    <row r="17" spans="2:19">
      <c r="B17" s="1541"/>
      <c r="C17" s="1542"/>
      <c r="D17" s="664" t="s">
        <v>426</v>
      </c>
      <c r="E17" s="662" t="s">
        <v>427</v>
      </c>
      <c r="F17" s="663" t="s">
        <v>245</v>
      </c>
      <c r="G17" s="664" t="s">
        <v>426</v>
      </c>
      <c r="H17" s="662" t="s">
        <v>427</v>
      </c>
      <c r="I17" s="663" t="s">
        <v>245</v>
      </c>
      <c r="J17" s="536"/>
      <c r="K17" s="536"/>
      <c r="L17" s="536"/>
      <c r="M17" s="536"/>
      <c r="N17" s="536"/>
      <c r="O17" s="536"/>
      <c r="P17" s="536"/>
      <c r="Q17" s="536"/>
      <c r="R17" s="536"/>
      <c r="S17" s="536"/>
    </row>
    <row r="18" spans="2:19" ht="15" customHeight="1">
      <c r="B18" s="1525" t="s">
        <v>433</v>
      </c>
      <c r="C18" s="1526"/>
      <c r="D18" s="670">
        <v>0</v>
      </c>
      <c r="E18" s="668">
        <v>0</v>
      </c>
      <c r="F18" s="671">
        <v>0</v>
      </c>
      <c r="G18" s="670">
        <v>1</v>
      </c>
      <c r="H18" s="668">
        <v>2</v>
      </c>
      <c r="I18" s="671">
        <v>0</v>
      </c>
      <c r="J18" s="536"/>
      <c r="K18" s="536"/>
      <c r="L18" s="536"/>
      <c r="M18" s="536"/>
      <c r="N18" s="536"/>
      <c r="O18" s="536"/>
      <c r="P18" s="536"/>
      <c r="Q18" s="536"/>
      <c r="R18" s="536"/>
      <c r="S18" s="536"/>
    </row>
    <row r="19" spans="2:19" ht="15" customHeight="1">
      <c r="B19" s="1525" t="s">
        <v>434</v>
      </c>
      <c r="C19" s="1526"/>
      <c r="D19" s="670">
        <v>0</v>
      </c>
      <c r="E19" s="668">
        <v>0</v>
      </c>
      <c r="F19" s="671">
        <v>0</v>
      </c>
      <c r="G19" s="670">
        <v>0</v>
      </c>
      <c r="H19" s="668">
        <v>12</v>
      </c>
      <c r="I19" s="671">
        <v>0</v>
      </c>
      <c r="J19" s="536"/>
      <c r="K19" s="536"/>
      <c r="L19" s="536"/>
      <c r="M19" s="536"/>
      <c r="N19" s="536"/>
      <c r="O19" s="536"/>
      <c r="P19" s="536"/>
      <c r="Q19" s="536"/>
      <c r="R19" s="536"/>
      <c r="S19" s="536"/>
    </row>
    <row r="20" spans="2:19" ht="15" customHeight="1" thickBot="1">
      <c r="B20" s="1527" t="s">
        <v>435</v>
      </c>
      <c r="C20" s="1528"/>
      <c r="D20" s="672">
        <v>0</v>
      </c>
      <c r="E20" s="673">
        <v>0</v>
      </c>
      <c r="F20" s="674">
        <v>6</v>
      </c>
      <c r="G20" s="672">
        <v>0</v>
      </c>
      <c r="H20" s="673">
        <v>0</v>
      </c>
      <c r="I20" s="674">
        <v>10</v>
      </c>
      <c r="J20" s="536"/>
      <c r="K20" s="536"/>
      <c r="L20" s="536"/>
      <c r="M20" s="536"/>
      <c r="N20" s="536"/>
      <c r="O20" s="536"/>
      <c r="P20" s="536"/>
      <c r="Q20" s="536"/>
      <c r="R20" s="536"/>
      <c r="S20" s="536"/>
    </row>
    <row r="21" spans="2:19">
      <c r="B21" s="536"/>
      <c r="C21" s="536"/>
      <c r="D21" s="536"/>
      <c r="E21" s="536"/>
      <c r="F21" s="536"/>
      <c r="G21" s="536"/>
      <c r="H21" s="536"/>
      <c r="I21" s="536"/>
      <c r="J21" s="536"/>
      <c r="K21" s="536"/>
      <c r="L21" s="536"/>
      <c r="M21" s="536"/>
      <c r="N21" s="536"/>
      <c r="O21" s="536"/>
      <c r="P21" s="536"/>
      <c r="Q21" s="536"/>
      <c r="R21" s="536"/>
      <c r="S21" s="536"/>
    </row>
    <row r="22" spans="2:19">
      <c r="B22" s="157" t="s">
        <v>436</v>
      </c>
      <c r="C22" s="536"/>
      <c r="D22" s="536"/>
      <c r="E22" s="536"/>
      <c r="F22" s="536"/>
      <c r="G22" s="536"/>
      <c r="H22" s="536"/>
      <c r="I22" s="536"/>
      <c r="J22" s="536"/>
      <c r="K22" s="536"/>
      <c r="L22" s="536"/>
      <c r="M22" s="536"/>
      <c r="N22" s="536"/>
      <c r="O22" s="536"/>
      <c r="P22" s="536"/>
      <c r="Q22" s="536"/>
      <c r="R22" s="536"/>
      <c r="S22" s="536"/>
    </row>
    <row r="23" spans="2:19" ht="13.5" thickBot="1">
      <c r="B23" s="157"/>
      <c r="C23" s="536"/>
      <c r="D23" s="536"/>
      <c r="E23" s="536"/>
      <c r="F23" s="536"/>
      <c r="G23" s="536"/>
      <c r="H23" s="536"/>
      <c r="I23" s="536"/>
      <c r="J23" s="536"/>
      <c r="K23" s="536"/>
      <c r="L23" s="536"/>
      <c r="M23" s="536"/>
      <c r="N23" s="536"/>
      <c r="O23" s="536"/>
      <c r="P23" s="536"/>
      <c r="Q23" s="536"/>
      <c r="R23" s="536"/>
      <c r="S23" s="536"/>
    </row>
    <row r="24" spans="2:19">
      <c r="B24" s="1512"/>
      <c r="C24" s="115" t="s">
        <v>211</v>
      </c>
      <c r="D24" s="116"/>
      <c r="E24" s="116"/>
      <c r="F24" s="116"/>
      <c r="G24" s="675"/>
      <c r="H24" s="115" t="s">
        <v>212</v>
      </c>
      <c r="I24" s="676"/>
      <c r="J24" s="676"/>
      <c r="K24" s="676"/>
      <c r="L24" s="675"/>
      <c r="M24" s="677"/>
      <c r="N24" s="119" t="s">
        <v>211</v>
      </c>
      <c r="O24" s="120"/>
      <c r="P24" s="121"/>
      <c r="Q24" s="677"/>
      <c r="R24" s="119" t="s">
        <v>212</v>
      </c>
      <c r="S24" s="121"/>
    </row>
    <row r="25" spans="2:19">
      <c r="B25" s="1513"/>
      <c r="C25" s="126" t="s">
        <v>99</v>
      </c>
      <c r="D25" s="127" t="s">
        <v>100</v>
      </c>
      <c r="E25" s="127" t="s">
        <v>101</v>
      </c>
      <c r="F25" s="127" t="s">
        <v>102</v>
      </c>
      <c r="G25" s="128" t="s">
        <v>64</v>
      </c>
      <c r="H25" s="126" t="s">
        <v>213</v>
      </c>
      <c r="I25" s="127" t="s">
        <v>214</v>
      </c>
      <c r="J25" s="127" t="s">
        <v>215</v>
      </c>
      <c r="K25" s="127" t="s">
        <v>216</v>
      </c>
      <c r="L25" s="128" t="s">
        <v>217</v>
      </c>
      <c r="M25" s="677"/>
      <c r="N25" s="126" t="s">
        <v>218</v>
      </c>
      <c r="O25" s="127" t="s">
        <v>219</v>
      </c>
      <c r="P25" s="128" t="s">
        <v>220</v>
      </c>
      <c r="Q25" s="677"/>
      <c r="R25" s="126" t="s">
        <v>219</v>
      </c>
      <c r="S25" s="128" t="s">
        <v>221</v>
      </c>
    </row>
    <row r="26" spans="2:19">
      <c r="B26" s="1514"/>
      <c r="C26" s="514" t="s">
        <v>366</v>
      </c>
      <c r="D26" s="515" t="s">
        <v>366</v>
      </c>
      <c r="E26" s="515" t="s">
        <v>366</v>
      </c>
      <c r="F26" s="515" t="s">
        <v>366</v>
      </c>
      <c r="G26" s="516" t="s">
        <v>366</v>
      </c>
      <c r="H26" s="514" t="s">
        <v>366</v>
      </c>
      <c r="I26" s="515" t="s">
        <v>366</v>
      </c>
      <c r="J26" s="515" t="s">
        <v>366</v>
      </c>
      <c r="K26" s="515" t="s">
        <v>366</v>
      </c>
      <c r="L26" s="516" t="s">
        <v>366</v>
      </c>
      <c r="M26" s="678"/>
      <c r="N26" s="514" t="s">
        <v>366</v>
      </c>
      <c r="O26" s="515" t="s">
        <v>366</v>
      </c>
      <c r="P26" s="516" t="s">
        <v>366</v>
      </c>
      <c r="Q26" s="678"/>
      <c r="R26" s="514" t="s">
        <v>366</v>
      </c>
      <c r="S26" s="516" t="s">
        <v>366</v>
      </c>
    </row>
    <row r="27" spans="2:19">
      <c r="B27" s="679" t="s">
        <v>437</v>
      </c>
      <c r="C27" s="680"/>
      <c r="D27" s="681"/>
      <c r="E27" s="681"/>
      <c r="F27" s="681"/>
      <c r="G27" s="682"/>
      <c r="H27" s="680"/>
      <c r="I27" s="681"/>
      <c r="J27" s="681"/>
      <c r="K27" s="681"/>
      <c r="L27" s="682"/>
      <c r="M27" s="678"/>
      <c r="N27" s="680"/>
      <c r="O27" s="683"/>
      <c r="P27" s="684"/>
      <c r="Q27" s="678"/>
      <c r="R27" s="680"/>
      <c r="S27" s="524"/>
    </row>
    <row r="28" spans="2:19">
      <c r="B28" s="685" t="s">
        <v>438</v>
      </c>
      <c r="C28" s="528">
        <v>0</v>
      </c>
      <c r="D28" s="528">
        <v>0</v>
      </c>
      <c r="E28" s="528">
        <v>0</v>
      </c>
      <c r="F28" s="528">
        <v>0</v>
      </c>
      <c r="G28" s="529">
        <v>0</v>
      </c>
      <c r="H28" s="527">
        <v>0</v>
      </c>
      <c r="I28" s="530">
        <v>0</v>
      </c>
      <c r="J28" s="530">
        <v>0</v>
      </c>
      <c r="K28" s="530">
        <v>0</v>
      </c>
      <c r="L28" s="529">
        <v>0</v>
      </c>
      <c r="M28" s="677"/>
      <c r="N28" s="686">
        <v>0</v>
      </c>
      <c r="O28" s="687">
        <v>0</v>
      </c>
      <c r="P28" s="688">
        <v>0</v>
      </c>
      <c r="Q28" s="677"/>
      <c r="R28" s="686">
        <v>0</v>
      </c>
      <c r="S28" s="689" t="s">
        <v>1018</v>
      </c>
    </row>
    <row r="29" spans="2:19">
      <c r="B29" s="685" t="s">
        <v>245</v>
      </c>
      <c r="C29" s="528">
        <v>0</v>
      </c>
      <c r="D29" s="528">
        <v>0</v>
      </c>
      <c r="E29" s="528">
        <v>0</v>
      </c>
      <c r="F29" s="528">
        <v>9.9238560456659207E-3</v>
      </c>
      <c r="G29" s="529">
        <v>4.5675994805772668E-2</v>
      </c>
      <c r="H29" s="527">
        <v>4.1422814967533951E-2</v>
      </c>
      <c r="I29" s="530">
        <v>4.1534959357800008E-2</v>
      </c>
      <c r="J29" s="530">
        <v>4.1534959357800008E-2</v>
      </c>
      <c r="K29" s="530">
        <v>4.1534959357800008E-2</v>
      </c>
      <c r="L29" s="529">
        <v>4.1534959357800008E-2</v>
      </c>
      <c r="M29" s="677"/>
      <c r="N29" s="686">
        <v>9.9238560456659207E-3</v>
      </c>
      <c r="O29" s="687">
        <v>4.5675994805772668E-2</v>
      </c>
      <c r="P29" s="688">
        <v>5.5599850851438593E-2</v>
      </c>
      <c r="Q29" s="677"/>
      <c r="R29" s="686">
        <v>0.207562652398734</v>
      </c>
      <c r="S29" s="689">
        <v>2.7331512444761086</v>
      </c>
    </row>
    <row r="30" spans="2:19">
      <c r="B30" s="685" t="s">
        <v>439</v>
      </c>
      <c r="C30" s="528">
        <v>0</v>
      </c>
      <c r="D30" s="528">
        <v>0</v>
      </c>
      <c r="E30" s="528">
        <v>0</v>
      </c>
      <c r="F30" s="528">
        <v>0.02</v>
      </c>
      <c r="G30" s="529">
        <v>0.9</v>
      </c>
      <c r="H30" s="527">
        <v>1.6616405475000002</v>
      </c>
      <c r="I30" s="530">
        <v>1.9822350000000002</v>
      </c>
      <c r="J30" s="530">
        <v>1.3248375000000001</v>
      </c>
      <c r="K30" s="530">
        <v>1.0544625000000001</v>
      </c>
      <c r="L30" s="529">
        <v>0.65399999999999991</v>
      </c>
      <c r="M30" s="677"/>
      <c r="N30" s="686">
        <v>0.02</v>
      </c>
      <c r="O30" s="687">
        <v>0.9</v>
      </c>
      <c r="P30" s="688">
        <v>0.92</v>
      </c>
      <c r="Q30" s="677"/>
      <c r="R30" s="686">
        <v>6.677175547500001</v>
      </c>
      <c r="S30" s="689">
        <v>6.2577995081521749</v>
      </c>
    </row>
    <row r="31" spans="2:19">
      <c r="B31" s="685" t="s">
        <v>440</v>
      </c>
      <c r="C31" s="528">
        <v>0</v>
      </c>
      <c r="D31" s="528">
        <v>0</v>
      </c>
      <c r="E31" s="528">
        <v>0</v>
      </c>
      <c r="F31" s="528">
        <v>0</v>
      </c>
      <c r="G31" s="529">
        <v>0</v>
      </c>
      <c r="H31" s="527">
        <v>0.51500000000000001</v>
      </c>
      <c r="I31" s="530">
        <v>1.5449999999999999</v>
      </c>
      <c r="J31" s="530">
        <v>0</v>
      </c>
      <c r="K31" s="530">
        <v>0</v>
      </c>
      <c r="L31" s="529">
        <v>0</v>
      </c>
      <c r="M31" s="677"/>
      <c r="N31" s="686">
        <v>0</v>
      </c>
      <c r="O31" s="687">
        <v>0</v>
      </c>
      <c r="P31" s="688">
        <v>0</v>
      </c>
      <c r="Q31" s="677"/>
      <c r="R31" s="686">
        <v>2.06</v>
      </c>
      <c r="S31" s="689" t="s">
        <v>1018</v>
      </c>
    </row>
    <row r="32" spans="2:19" ht="13.5" thickBot="1">
      <c r="B32" s="690" t="s">
        <v>441</v>
      </c>
      <c r="C32" s="691">
        <v>0</v>
      </c>
      <c r="D32" s="691">
        <v>0</v>
      </c>
      <c r="E32" s="691">
        <v>0</v>
      </c>
      <c r="F32" s="691">
        <v>2.9923856045665921E-2</v>
      </c>
      <c r="G32" s="692">
        <v>0.94567599480577269</v>
      </c>
      <c r="H32" s="693">
        <v>2.2180633624675341</v>
      </c>
      <c r="I32" s="694">
        <v>3.5687699593577999</v>
      </c>
      <c r="J32" s="694">
        <v>1.3663724593578002</v>
      </c>
      <c r="K32" s="694">
        <v>1.0959974593578001</v>
      </c>
      <c r="L32" s="692">
        <v>0.69553495935779996</v>
      </c>
      <c r="M32" s="695"/>
      <c r="N32" s="693">
        <v>2.9923856045665921E-2</v>
      </c>
      <c r="O32" s="694">
        <v>0.94567599480577269</v>
      </c>
      <c r="P32" s="692">
        <v>0.97559985085143863</v>
      </c>
      <c r="Q32" s="695"/>
      <c r="R32" s="693">
        <v>8.944738199898735</v>
      </c>
      <c r="S32" s="696">
        <v>8.1684497410412291</v>
      </c>
    </row>
    <row r="33" spans="2:19">
      <c r="B33" s="112"/>
      <c r="C33" s="112"/>
      <c r="D33" s="112"/>
      <c r="E33" s="112"/>
      <c r="F33" s="112"/>
      <c r="G33" s="112"/>
      <c r="H33" s="112"/>
      <c r="I33" s="112"/>
      <c r="J33" s="112"/>
      <c r="K33" s="112"/>
      <c r="L33" s="112"/>
      <c r="M33" s="114"/>
      <c r="N33" s="112"/>
      <c r="O33" s="112"/>
      <c r="P33" s="112"/>
      <c r="Q33" s="114"/>
      <c r="R33" s="112"/>
      <c r="S33" s="112"/>
    </row>
  </sheetData>
  <mergeCells count="9">
    <mergeCell ref="B19:C19"/>
    <mergeCell ref="B20:C20"/>
    <mergeCell ref="B24:B26"/>
    <mergeCell ref="B8:C9"/>
    <mergeCell ref="B10:C10"/>
    <mergeCell ref="B11:C11"/>
    <mergeCell ref="B12:C12"/>
    <mergeCell ref="B16:C17"/>
    <mergeCell ref="B18:C18"/>
  </mergeCells>
  <phoneticPr fontId="1" type="noConversion"/>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5FFFF"/>
    <pageSetUpPr fitToPage="1"/>
  </sheetPr>
  <dimension ref="A1:W187"/>
  <sheetViews>
    <sheetView workbookViewId="0">
      <selection sqref="A1:XFD1048576"/>
    </sheetView>
  </sheetViews>
  <sheetFormatPr defaultColWidth="8.85546875" defaultRowHeight="14.25"/>
  <cols>
    <col min="1" max="1" width="4.28515625" style="804" customWidth="1"/>
    <col min="2" max="2" width="45.85546875" style="806" customWidth="1"/>
    <col min="3" max="3" width="40.28515625" style="806" customWidth="1"/>
    <col min="4" max="8" width="10.28515625" style="806" customWidth="1"/>
    <col min="9" max="13" width="10.28515625" style="807" customWidth="1"/>
    <col min="14" max="14" width="4.140625" style="807" customWidth="1"/>
    <col min="15" max="17" width="13.7109375" style="807" customWidth="1"/>
    <col min="18" max="18" width="4.28515625" style="807" customWidth="1"/>
    <col min="19" max="20" width="11.85546875" style="807" customWidth="1"/>
    <col min="21" max="23" width="8.85546875" style="807"/>
    <col min="24" max="16384" width="8.85546875" style="806"/>
  </cols>
  <sheetData>
    <row r="1" spans="1:20" s="697" customFormat="1" ht="20.25">
      <c r="A1" s="497" t="s">
        <v>363</v>
      </c>
      <c r="G1" s="497" t="s">
        <v>67</v>
      </c>
    </row>
    <row r="2" spans="1:20" s="697" customFormat="1" ht="20.25">
      <c r="A2" s="698" t="s">
        <v>1017</v>
      </c>
      <c r="B2" s="497"/>
    </row>
    <row r="3" spans="1:20" s="700" customFormat="1" ht="21" thickBot="1">
      <c r="A3" s="699" t="s">
        <v>442</v>
      </c>
    </row>
    <row r="4" spans="1:20" s="702" customFormat="1" ht="12.75">
      <c r="A4" s="701"/>
      <c r="S4" s="677"/>
      <c r="T4" s="677"/>
    </row>
    <row r="5" spans="1:20" s="705" customFormat="1" ht="12.75">
      <c r="A5" s="703"/>
      <c r="B5" s="704" t="s">
        <v>443</v>
      </c>
      <c r="O5" s="706"/>
      <c r="P5" s="706"/>
      <c r="Q5" s="706"/>
      <c r="R5" s="706"/>
      <c r="S5" s="706"/>
      <c r="T5" s="706"/>
    </row>
    <row r="6" spans="1:20" s="709" customFormat="1" ht="13.5" thickBot="1">
      <c r="A6" s="707"/>
      <c r="B6" s="584"/>
      <c r="C6" s="584"/>
      <c r="D6" s="584"/>
      <c r="E6" s="584"/>
      <c r="F6" s="584"/>
      <c r="G6" s="584"/>
      <c r="H6" s="584"/>
      <c r="I6" s="584"/>
      <c r="J6" s="584"/>
      <c r="K6" s="584"/>
      <c r="L6" s="584"/>
      <c r="M6" s="584"/>
      <c r="N6" s="706"/>
      <c r="O6" s="708"/>
      <c r="P6" s="708"/>
      <c r="Q6" s="708"/>
      <c r="R6" s="706"/>
      <c r="S6" s="708"/>
      <c r="T6" s="708"/>
    </row>
    <row r="7" spans="1:20" s="709" customFormat="1" ht="15" customHeight="1">
      <c r="A7" s="707"/>
      <c r="B7" s="1544" t="s">
        <v>444</v>
      </c>
      <c r="C7" s="1545"/>
      <c r="D7" s="710" t="s">
        <v>445</v>
      </c>
      <c r="E7" s="711"/>
      <c r="F7" s="711"/>
      <c r="G7" s="711"/>
      <c r="H7" s="712"/>
      <c r="I7" s="710" t="s">
        <v>446</v>
      </c>
      <c r="J7" s="711"/>
      <c r="K7" s="711"/>
      <c r="L7" s="711"/>
      <c r="M7" s="712"/>
      <c r="N7" s="706"/>
      <c r="O7" s="119" t="s">
        <v>211</v>
      </c>
      <c r="P7" s="120"/>
      <c r="Q7" s="121"/>
      <c r="R7" s="706"/>
      <c r="S7" s="119" t="s">
        <v>212</v>
      </c>
      <c r="T7" s="121"/>
    </row>
    <row r="8" spans="1:20" s="709" customFormat="1" ht="15" customHeight="1">
      <c r="A8" s="707"/>
      <c r="B8" s="1546"/>
      <c r="C8" s="1547"/>
      <c r="D8" s="713" t="s">
        <v>99</v>
      </c>
      <c r="E8" s="714" t="s">
        <v>100</v>
      </c>
      <c r="F8" s="714" t="s">
        <v>101</v>
      </c>
      <c r="G8" s="714" t="s">
        <v>102</v>
      </c>
      <c r="H8" s="715" t="s">
        <v>64</v>
      </c>
      <c r="I8" s="713" t="s">
        <v>213</v>
      </c>
      <c r="J8" s="714" t="s">
        <v>214</v>
      </c>
      <c r="K8" s="714" t="s">
        <v>215</v>
      </c>
      <c r="L8" s="714" t="s">
        <v>216</v>
      </c>
      <c r="M8" s="715" t="s">
        <v>217</v>
      </c>
      <c r="N8" s="706"/>
      <c r="O8" s="126" t="s">
        <v>218</v>
      </c>
      <c r="P8" s="127" t="s">
        <v>219</v>
      </c>
      <c r="Q8" s="128" t="s">
        <v>220</v>
      </c>
      <c r="R8" s="706"/>
      <c r="S8" s="126" t="s">
        <v>219</v>
      </c>
      <c r="T8" s="128" t="s">
        <v>221</v>
      </c>
    </row>
    <row r="9" spans="1:20" s="709" customFormat="1" ht="15" customHeight="1">
      <c r="A9" s="707"/>
      <c r="B9" s="1548"/>
      <c r="C9" s="1549"/>
      <c r="D9" s="713" t="s">
        <v>223</v>
      </c>
      <c r="E9" s="714" t="s">
        <v>223</v>
      </c>
      <c r="F9" s="714" t="s">
        <v>223</v>
      </c>
      <c r="G9" s="714" t="s">
        <v>223</v>
      </c>
      <c r="H9" s="715" t="s">
        <v>223</v>
      </c>
      <c r="I9" s="716" t="s">
        <v>223</v>
      </c>
      <c r="J9" s="714" t="s">
        <v>223</v>
      </c>
      <c r="K9" s="714" t="s">
        <v>223</v>
      </c>
      <c r="L9" s="714" t="s">
        <v>223</v>
      </c>
      <c r="M9" s="715" t="s">
        <v>223</v>
      </c>
      <c r="N9" s="584"/>
      <c r="O9" s="717"/>
      <c r="P9" s="718"/>
      <c r="Q9" s="719"/>
      <c r="R9" s="706"/>
      <c r="S9" s="720"/>
      <c r="T9" s="721"/>
    </row>
    <row r="10" spans="1:20" s="709" customFormat="1" ht="15" customHeight="1">
      <c r="A10" s="707"/>
      <c r="B10" s="1550" t="s">
        <v>447</v>
      </c>
      <c r="C10" s="722" t="s">
        <v>448</v>
      </c>
      <c r="D10" s="723">
        <v>0.2160359756675399</v>
      </c>
      <c r="E10" s="724">
        <v>0.20826191725402829</v>
      </c>
      <c r="F10" s="724">
        <v>0.3</v>
      </c>
      <c r="G10" s="724">
        <v>0.65820871460999997</v>
      </c>
      <c r="H10" s="725">
        <v>0.86861755337969992</v>
      </c>
      <c r="I10" s="723">
        <v>0.43472288151030003</v>
      </c>
      <c r="J10" s="724">
        <v>0.43589981099999997</v>
      </c>
      <c r="K10" s="724">
        <v>0.43589981099999997</v>
      </c>
      <c r="L10" s="724">
        <v>0.43589981099999997</v>
      </c>
      <c r="M10" s="725">
        <v>0.43589981099999997</v>
      </c>
      <c r="N10" s="584"/>
      <c r="O10" s="686">
        <v>1.3825066075315682</v>
      </c>
      <c r="P10" s="687">
        <v>0.86861755337969992</v>
      </c>
      <c r="Q10" s="688">
        <v>2.2511241609112682</v>
      </c>
      <c r="R10" s="706"/>
      <c r="S10" s="686">
        <v>2.1783221255103</v>
      </c>
      <c r="T10" s="309">
        <v>-3.234030208777889E-2</v>
      </c>
    </row>
    <row r="11" spans="1:20" s="709" customFormat="1" ht="15" customHeight="1">
      <c r="A11" s="707"/>
      <c r="B11" s="1551"/>
      <c r="C11" s="726" t="s">
        <v>449</v>
      </c>
      <c r="D11" s="727">
        <v>2.3763957323429388</v>
      </c>
      <c r="E11" s="728">
        <v>2.6032739656753536</v>
      </c>
      <c r="F11" s="728">
        <v>2.6</v>
      </c>
      <c r="G11" s="728">
        <v>2.2034769779892902</v>
      </c>
      <c r="H11" s="729">
        <v>2.0769099289851281</v>
      </c>
      <c r="I11" s="727">
        <v>2.6621452260416434</v>
      </c>
      <c r="J11" s="728">
        <v>2.1792643188578231</v>
      </c>
      <c r="K11" s="728">
        <v>1.816258251041047</v>
      </c>
      <c r="L11" s="728">
        <v>1.5236181558596074</v>
      </c>
      <c r="M11" s="729">
        <v>1.5097581915526472</v>
      </c>
      <c r="N11" s="584"/>
      <c r="O11" s="686">
        <v>9.7831466760075827</v>
      </c>
      <c r="P11" s="687">
        <v>2.0769099289851281</v>
      </c>
      <c r="Q11" s="688">
        <v>11.86005660499271</v>
      </c>
      <c r="R11" s="706"/>
      <c r="S11" s="686">
        <v>9.6910441433527676</v>
      </c>
      <c r="T11" s="309">
        <v>-0.1828838203627845</v>
      </c>
    </row>
    <row r="12" spans="1:20" s="709" customFormat="1" ht="15" customHeight="1">
      <c r="A12" s="707"/>
      <c r="B12" s="1551" t="s">
        <v>450</v>
      </c>
      <c r="C12" s="726" t="s">
        <v>448</v>
      </c>
      <c r="D12" s="727">
        <v>0</v>
      </c>
      <c r="E12" s="728">
        <v>0</v>
      </c>
      <c r="F12" s="728">
        <v>0</v>
      </c>
      <c r="G12" s="728">
        <v>0</v>
      </c>
      <c r="H12" s="729">
        <v>0</v>
      </c>
      <c r="I12" s="727">
        <v>0</v>
      </c>
      <c r="J12" s="728">
        <v>0</v>
      </c>
      <c r="K12" s="728">
        <v>0</v>
      </c>
      <c r="L12" s="728">
        <v>0</v>
      </c>
      <c r="M12" s="729">
        <v>0</v>
      </c>
      <c r="N12" s="584"/>
      <c r="O12" s="686">
        <v>0</v>
      </c>
      <c r="P12" s="687">
        <v>0</v>
      </c>
      <c r="Q12" s="688">
        <v>0</v>
      </c>
      <c r="R12" s="706"/>
      <c r="S12" s="686">
        <v>0</v>
      </c>
      <c r="T12" s="309" t="s">
        <v>1018</v>
      </c>
    </row>
    <row r="13" spans="1:20" s="709" customFormat="1" ht="15" customHeight="1">
      <c r="A13" s="707"/>
      <c r="B13" s="1551"/>
      <c r="C13" s="726" t="s">
        <v>449</v>
      </c>
      <c r="D13" s="727">
        <v>0</v>
      </c>
      <c r="E13" s="728">
        <v>0</v>
      </c>
      <c r="F13" s="728">
        <v>0</v>
      </c>
      <c r="G13" s="728">
        <v>0</v>
      </c>
      <c r="H13" s="729">
        <v>0.20168628108030934</v>
      </c>
      <c r="I13" s="727">
        <v>4.522941195954789E-2</v>
      </c>
      <c r="J13" s="728">
        <v>4.5351861986912552E-2</v>
      </c>
      <c r="K13" s="728">
        <v>4.5351861986912552E-2</v>
      </c>
      <c r="L13" s="728">
        <v>4.5351861986912552E-2</v>
      </c>
      <c r="M13" s="729">
        <v>4.5351861986912552E-2</v>
      </c>
      <c r="N13" s="584"/>
      <c r="O13" s="686">
        <v>0</v>
      </c>
      <c r="P13" s="687">
        <v>0.20168628108030934</v>
      </c>
      <c r="Q13" s="688">
        <v>0.20168628108030934</v>
      </c>
      <c r="R13" s="706"/>
      <c r="S13" s="686">
        <v>0.22663685990719809</v>
      </c>
      <c r="T13" s="309">
        <v>0.12370984626839193</v>
      </c>
    </row>
    <row r="14" spans="1:20" s="709" customFormat="1" ht="15" customHeight="1">
      <c r="A14" s="707"/>
      <c r="B14" s="1543" t="s">
        <v>368</v>
      </c>
      <c r="C14" s="726" t="s">
        <v>451</v>
      </c>
      <c r="D14" s="727">
        <v>3.2405396350130986</v>
      </c>
      <c r="E14" s="728">
        <v>3.9652383450805697</v>
      </c>
      <c r="F14" s="728">
        <v>6.9</v>
      </c>
      <c r="G14" s="728">
        <v>3.5347676715887051</v>
      </c>
      <c r="H14" s="729">
        <v>3.1294098420785237</v>
      </c>
      <c r="I14" s="727">
        <v>2.5235437351820731</v>
      </c>
      <c r="J14" s="728">
        <v>2.1645900581451896</v>
      </c>
      <c r="K14" s="728">
        <v>2.3210213081451898</v>
      </c>
      <c r="L14" s="728">
        <v>2.7903150581451897</v>
      </c>
      <c r="M14" s="729">
        <v>2.9467463081451899</v>
      </c>
      <c r="N14" s="584"/>
      <c r="O14" s="686">
        <v>17.640545651682373</v>
      </c>
      <c r="P14" s="687">
        <v>3.1294098420785237</v>
      </c>
      <c r="Q14" s="688">
        <v>20.769955493760897</v>
      </c>
      <c r="R14" s="706"/>
      <c r="S14" s="686">
        <v>12.746216467762832</v>
      </c>
      <c r="T14" s="309">
        <v>-0.38631469520521228</v>
      </c>
    </row>
    <row r="15" spans="1:20" s="709" customFormat="1" ht="15" customHeight="1">
      <c r="A15" s="707"/>
      <c r="B15" s="1543"/>
      <c r="C15" s="726" t="s">
        <v>452</v>
      </c>
      <c r="D15" s="727">
        <v>1.7282878053403199</v>
      </c>
      <c r="E15" s="728">
        <v>2.7074049243023701</v>
      </c>
      <c r="F15" s="728">
        <v>3.0999999999999996</v>
      </c>
      <c r="G15" s="728">
        <v>2.6242892468006898</v>
      </c>
      <c r="H15" s="729">
        <v>3.8222082035144469</v>
      </c>
      <c r="I15" s="727">
        <v>2.9601065019371271</v>
      </c>
      <c r="J15" s="728">
        <v>2.7675789651430129</v>
      </c>
      <c r="K15" s="728">
        <v>2.7675789651430129</v>
      </c>
      <c r="L15" s="728">
        <v>2.7675789651430129</v>
      </c>
      <c r="M15" s="729">
        <v>2.7675789651430129</v>
      </c>
      <c r="N15" s="584"/>
      <c r="O15" s="686">
        <v>10.15998197644338</v>
      </c>
      <c r="P15" s="687">
        <v>3.8222082035144469</v>
      </c>
      <c r="Q15" s="688">
        <v>13.982190179957826</v>
      </c>
      <c r="R15" s="706"/>
      <c r="S15" s="686">
        <v>14.030422362509178</v>
      </c>
      <c r="T15" s="309">
        <v>3.4495441651543743E-3</v>
      </c>
    </row>
    <row r="16" spans="1:20" s="709" customFormat="1" ht="15" customHeight="1">
      <c r="A16" s="707"/>
      <c r="B16" s="1543"/>
      <c r="C16" s="730" t="s">
        <v>453</v>
      </c>
      <c r="D16" s="727">
        <v>0.54008993916884973</v>
      </c>
      <c r="E16" s="728">
        <v>0.62478575176208484</v>
      </c>
      <c r="F16" s="728">
        <v>0.6</v>
      </c>
      <c r="G16" s="728">
        <v>1.2616811229002607</v>
      </c>
      <c r="H16" s="729">
        <v>2.0674393198868106</v>
      </c>
      <c r="I16" s="727">
        <v>2.8791947243665676</v>
      </c>
      <c r="J16" s="728">
        <v>2.5206698989938516</v>
      </c>
      <c r="K16" s="728">
        <v>2.7790453989938513</v>
      </c>
      <c r="L16" s="728">
        <v>3.0355668989938511</v>
      </c>
      <c r="M16" s="729">
        <v>3.2831788989938513</v>
      </c>
      <c r="N16" s="584"/>
      <c r="O16" s="686">
        <v>3.0265568138311956</v>
      </c>
      <c r="P16" s="687">
        <v>2.0674393198868106</v>
      </c>
      <c r="Q16" s="688">
        <v>5.0939961337180062</v>
      </c>
      <c r="R16" s="706"/>
      <c r="S16" s="686">
        <v>14.497655820341972</v>
      </c>
      <c r="T16" s="309">
        <v>1.8460280376695972</v>
      </c>
    </row>
    <row r="17" spans="1:20" s="709" customFormat="1" ht="15" customHeight="1">
      <c r="A17" s="707"/>
      <c r="B17" s="1543" t="s">
        <v>245</v>
      </c>
      <c r="C17" s="726" t="s">
        <v>454</v>
      </c>
      <c r="D17" s="727">
        <v>4.5367554890183373</v>
      </c>
      <c r="E17" s="728">
        <v>3.4</v>
      </c>
      <c r="F17" s="728">
        <v>4.9000000000000004</v>
      </c>
      <c r="G17" s="728">
        <v>5.2806251059632778</v>
      </c>
      <c r="H17" s="729">
        <v>3.932056076803407</v>
      </c>
      <c r="I17" s="727">
        <v>5.4520817236787238</v>
      </c>
      <c r="J17" s="728">
        <v>5.7687425113497595</v>
      </c>
      <c r="K17" s="728">
        <v>5.7687425113497595</v>
      </c>
      <c r="L17" s="728">
        <v>5.7682921544072592</v>
      </c>
      <c r="M17" s="729">
        <v>5.7669410835797592</v>
      </c>
      <c r="N17" s="584"/>
      <c r="O17" s="686">
        <v>18.117380594981615</v>
      </c>
      <c r="P17" s="687">
        <v>3.932056076803407</v>
      </c>
      <c r="Q17" s="688">
        <v>22.049436671785021</v>
      </c>
      <c r="R17" s="706"/>
      <c r="S17" s="686">
        <v>28.524799984365263</v>
      </c>
      <c r="T17" s="309">
        <v>0.29367477314584955</v>
      </c>
    </row>
    <row r="18" spans="1:20" s="709" customFormat="1" ht="15" customHeight="1">
      <c r="A18" s="707"/>
      <c r="B18" s="1543"/>
      <c r="C18" s="726" t="s">
        <v>115</v>
      </c>
      <c r="D18" s="727">
        <v>0.86414390267015995</v>
      </c>
      <c r="E18" s="728">
        <v>0.93717862764312698</v>
      </c>
      <c r="F18" s="728">
        <v>1.3</v>
      </c>
      <c r="G18" s="728">
        <v>1.3638835082657155</v>
      </c>
      <c r="H18" s="729">
        <v>2.9756580952817369</v>
      </c>
      <c r="I18" s="727">
        <v>3.0296840450942701</v>
      </c>
      <c r="J18" s="728">
        <v>3.0562666882074305</v>
      </c>
      <c r="K18" s="728">
        <v>3.1114077382074301</v>
      </c>
      <c r="L18" s="728">
        <v>3.1297880882074303</v>
      </c>
      <c r="M18" s="729">
        <v>3.2033094882074304</v>
      </c>
      <c r="N18" s="584"/>
      <c r="O18" s="686">
        <v>4.4652060385790024</v>
      </c>
      <c r="P18" s="687">
        <v>2.9756580952817369</v>
      </c>
      <c r="Q18" s="688">
        <v>7.4408641338607389</v>
      </c>
      <c r="R18" s="706"/>
      <c r="S18" s="686">
        <v>15.530456047923991</v>
      </c>
      <c r="T18" s="309">
        <v>1.0871844678967302</v>
      </c>
    </row>
    <row r="19" spans="1:20" s="709" customFormat="1" ht="15" customHeight="1">
      <c r="A19" s="707"/>
      <c r="B19" s="1543"/>
      <c r="C19" s="730" t="s">
        <v>455</v>
      </c>
      <c r="D19" s="727">
        <v>0</v>
      </c>
      <c r="E19" s="728">
        <v>0</v>
      </c>
      <c r="F19" s="728">
        <v>0</v>
      </c>
      <c r="G19" s="728">
        <v>0</v>
      </c>
      <c r="H19" s="729">
        <v>0</v>
      </c>
      <c r="I19" s="727">
        <v>0</v>
      </c>
      <c r="J19" s="728">
        <v>0</v>
      </c>
      <c r="K19" s="728">
        <v>0</v>
      </c>
      <c r="L19" s="728">
        <v>0</v>
      </c>
      <c r="M19" s="729">
        <v>0</v>
      </c>
      <c r="N19" s="584"/>
      <c r="O19" s="686">
        <v>0</v>
      </c>
      <c r="P19" s="687">
        <v>0</v>
      </c>
      <c r="Q19" s="688">
        <v>0</v>
      </c>
      <c r="R19" s="706"/>
      <c r="S19" s="686">
        <v>0</v>
      </c>
      <c r="T19" s="309" t="s">
        <v>1018</v>
      </c>
    </row>
    <row r="20" spans="1:20" s="709" customFormat="1" ht="15" customHeight="1">
      <c r="A20" s="707"/>
      <c r="B20" s="1543"/>
      <c r="C20" s="730" t="s">
        <v>453</v>
      </c>
      <c r="D20" s="727">
        <v>0.70676169439635672</v>
      </c>
      <c r="E20" s="728">
        <v>1.2495715035241697</v>
      </c>
      <c r="F20" s="728">
        <v>0.8</v>
      </c>
      <c r="G20" s="728">
        <v>3.39247573489014</v>
      </c>
      <c r="H20" s="729">
        <v>3.7944920680980991</v>
      </c>
      <c r="I20" s="727">
        <v>5.9338719734242886</v>
      </c>
      <c r="J20" s="728">
        <v>5.2986200817450007</v>
      </c>
      <c r="K20" s="728">
        <v>5.4783550817450006</v>
      </c>
      <c r="L20" s="728">
        <v>6.4295600817449996</v>
      </c>
      <c r="M20" s="729">
        <v>8.4967700817450016</v>
      </c>
      <c r="N20" s="584"/>
      <c r="O20" s="686">
        <v>6.1488089328106668</v>
      </c>
      <c r="P20" s="687">
        <v>3.7944920680980991</v>
      </c>
      <c r="Q20" s="688">
        <v>9.9433010009087663</v>
      </c>
      <c r="R20" s="706"/>
      <c r="S20" s="686">
        <v>31.637177300404289</v>
      </c>
      <c r="T20" s="309">
        <v>2.1817579793182178</v>
      </c>
    </row>
    <row r="21" spans="1:20" s="709" customFormat="1" ht="15" customHeight="1">
      <c r="A21" s="707"/>
      <c r="B21" s="1543"/>
      <c r="C21" s="726" t="s">
        <v>456</v>
      </c>
      <c r="D21" s="727">
        <v>0</v>
      </c>
      <c r="E21" s="728">
        <v>0.10413095862701414</v>
      </c>
      <c r="F21" s="728">
        <v>0.3</v>
      </c>
      <c r="G21" s="728">
        <v>1.0872852542509999</v>
      </c>
      <c r="H21" s="729">
        <v>1.5477720925542984</v>
      </c>
      <c r="I21" s="727">
        <v>2.3447464885810971</v>
      </c>
      <c r="J21" s="728">
        <v>2.2452511518160003</v>
      </c>
      <c r="K21" s="728">
        <v>2.6443761518160001</v>
      </c>
      <c r="L21" s="728">
        <v>3.0435011518159998</v>
      </c>
      <c r="M21" s="729">
        <v>3.4419537701850005</v>
      </c>
      <c r="N21" s="584"/>
      <c r="O21" s="686">
        <v>1.491416212878014</v>
      </c>
      <c r="P21" s="687">
        <v>1.5477720925542984</v>
      </c>
      <c r="Q21" s="688">
        <v>3.0391883054323126</v>
      </c>
      <c r="R21" s="706"/>
      <c r="S21" s="686">
        <v>13.719828714214097</v>
      </c>
      <c r="T21" s="309">
        <v>3.5143068923011351</v>
      </c>
    </row>
    <row r="22" spans="1:20" s="709" customFormat="1" ht="15" customHeight="1">
      <c r="A22" s="707"/>
      <c r="B22" s="1543"/>
      <c r="C22" s="726" t="s">
        <v>457</v>
      </c>
      <c r="D22" s="727">
        <v>5.4502636121285306</v>
      </c>
      <c r="E22" s="728">
        <v>4.5817621795886216</v>
      </c>
      <c r="F22" s="728">
        <v>5.5</v>
      </c>
      <c r="G22" s="728">
        <v>1.6850947317510501</v>
      </c>
      <c r="H22" s="729">
        <v>1.722550937172967</v>
      </c>
      <c r="I22" s="727">
        <v>1.814545478539878</v>
      </c>
      <c r="J22" s="728">
        <v>1.6186153618705854</v>
      </c>
      <c r="K22" s="728">
        <v>1.7388932005169104</v>
      </c>
      <c r="L22" s="728">
        <v>2.0997596348746721</v>
      </c>
      <c r="M22" s="729">
        <v>2.0190142185900433</v>
      </c>
      <c r="N22" s="584"/>
      <c r="O22" s="686">
        <v>17.217120523468203</v>
      </c>
      <c r="P22" s="687">
        <v>1.722550937172967</v>
      </c>
      <c r="Q22" s="688">
        <v>18.939671460641172</v>
      </c>
      <c r="R22" s="706"/>
      <c r="S22" s="686">
        <v>9.2908278943920877</v>
      </c>
      <c r="T22" s="309">
        <v>-0.50945147524340628</v>
      </c>
    </row>
    <row r="23" spans="1:20" s="709" customFormat="1" ht="15" customHeight="1">
      <c r="A23" s="707"/>
      <c r="B23" s="1543" t="s">
        <v>427</v>
      </c>
      <c r="C23" s="726" t="s">
        <v>454</v>
      </c>
      <c r="D23" s="727">
        <v>0</v>
      </c>
      <c r="E23" s="728">
        <v>0.8</v>
      </c>
      <c r="F23" s="728">
        <v>1</v>
      </c>
      <c r="G23" s="728">
        <v>1.9063358707750004</v>
      </c>
      <c r="H23" s="729">
        <v>1.3848461780424675</v>
      </c>
      <c r="I23" s="727">
        <v>1.9706324852137826</v>
      </c>
      <c r="J23" s="728">
        <v>4.8767343745250011</v>
      </c>
      <c r="K23" s="728">
        <v>6.6005559319000007</v>
      </c>
      <c r="L23" s="728">
        <v>10.273326751775002</v>
      </c>
      <c r="M23" s="729">
        <v>5.1142635242750005</v>
      </c>
      <c r="N23" s="584"/>
      <c r="O23" s="686">
        <v>3.7063358707750007</v>
      </c>
      <c r="P23" s="687">
        <v>1.3848461780424675</v>
      </c>
      <c r="Q23" s="688">
        <v>5.0911820488174682</v>
      </c>
      <c r="R23" s="706"/>
      <c r="S23" s="686">
        <v>28.835513067688787</v>
      </c>
      <c r="T23" s="309">
        <v>4.6638149630470247</v>
      </c>
    </row>
    <row r="24" spans="1:20" s="709" customFormat="1" ht="15" customHeight="1">
      <c r="A24" s="707"/>
      <c r="B24" s="1543"/>
      <c r="C24" s="726" t="s">
        <v>115</v>
      </c>
      <c r="D24" s="727">
        <v>1.2962158540052395</v>
      </c>
      <c r="E24" s="728">
        <v>2.7074049243023675</v>
      </c>
      <c r="F24" s="728">
        <v>1.9</v>
      </c>
      <c r="G24" s="728">
        <v>0.68265825000000013</v>
      </c>
      <c r="H24" s="729">
        <v>2.3040424320000006</v>
      </c>
      <c r="I24" s="727">
        <v>5.4019797080000007</v>
      </c>
      <c r="J24" s="728">
        <v>4.4963362500000006</v>
      </c>
      <c r="K24" s="728">
        <v>3.919343125000001</v>
      </c>
      <c r="L24" s="728">
        <v>3.728342500000001</v>
      </c>
      <c r="M24" s="729">
        <v>3.7155318750000004</v>
      </c>
      <c r="N24" s="584"/>
      <c r="O24" s="686">
        <v>6.5862790283076071</v>
      </c>
      <c r="P24" s="687">
        <v>2.3040424320000006</v>
      </c>
      <c r="Q24" s="688">
        <v>8.8903214603076073</v>
      </c>
      <c r="R24" s="706"/>
      <c r="S24" s="686">
        <v>21.261533458000002</v>
      </c>
      <c r="T24" s="309">
        <v>1.3915370836618037</v>
      </c>
    </row>
    <row r="25" spans="1:20" s="709" customFormat="1" ht="15" customHeight="1">
      <c r="A25" s="707"/>
      <c r="B25" s="1543"/>
      <c r="C25" s="726" t="s">
        <v>455</v>
      </c>
      <c r="D25" s="727">
        <v>0</v>
      </c>
      <c r="E25" s="728">
        <v>0</v>
      </c>
      <c r="F25" s="728">
        <v>0</v>
      </c>
      <c r="G25" s="728">
        <v>0</v>
      </c>
      <c r="H25" s="729">
        <v>0</v>
      </c>
      <c r="I25" s="727">
        <v>0</v>
      </c>
      <c r="J25" s="728">
        <v>0</v>
      </c>
      <c r="K25" s="728">
        <v>0</v>
      </c>
      <c r="L25" s="728">
        <v>0</v>
      </c>
      <c r="M25" s="729">
        <v>0</v>
      </c>
      <c r="N25" s="584"/>
      <c r="O25" s="686">
        <v>0</v>
      </c>
      <c r="P25" s="687">
        <v>0</v>
      </c>
      <c r="Q25" s="688">
        <v>0</v>
      </c>
      <c r="R25" s="706"/>
      <c r="S25" s="686">
        <v>0</v>
      </c>
      <c r="T25" s="309" t="s">
        <v>1018</v>
      </c>
    </row>
    <row r="26" spans="1:20" s="709" customFormat="1" ht="15" customHeight="1">
      <c r="A26" s="707"/>
      <c r="B26" s="1543"/>
      <c r="C26" s="726" t="s">
        <v>453</v>
      </c>
      <c r="D26" s="727">
        <v>1.8449472322007909</v>
      </c>
      <c r="E26" s="728">
        <v>0.10413095862701414</v>
      </c>
      <c r="F26" s="728">
        <v>0.4</v>
      </c>
      <c r="G26" s="728">
        <v>0.50005703999999995</v>
      </c>
      <c r="H26" s="729">
        <v>8.9131168450000034E-2</v>
      </c>
      <c r="I26" s="727">
        <v>0.46576637080000011</v>
      </c>
      <c r="J26" s="728">
        <v>1.2554412500000001</v>
      </c>
      <c r="K26" s="728">
        <v>5.7272248750000001</v>
      </c>
      <c r="L26" s="728">
        <v>6.9635209999999992</v>
      </c>
      <c r="M26" s="729">
        <v>4.5918256187499997</v>
      </c>
      <c r="N26" s="584"/>
      <c r="O26" s="686">
        <v>2.8491352308278053</v>
      </c>
      <c r="P26" s="687">
        <v>8.9131168450000034E-2</v>
      </c>
      <c r="Q26" s="688">
        <v>2.9382663992778055</v>
      </c>
      <c r="R26" s="706"/>
      <c r="S26" s="686">
        <v>19.003779114549999</v>
      </c>
      <c r="T26" s="309">
        <v>5.4676841824896911</v>
      </c>
    </row>
    <row r="27" spans="1:20" s="709" customFormat="1" ht="15" customHeight="1">
      <c r="A27" s="707"/>
      <c r="B27" s="1543"/>
      <c r="C27" s="726" t="s">
        <v>456</v>
      </c>
      <c r="D27" s="727">
        <v>0.9434753991635042</v>
      </c>
      <c r="E27" s="728">
        <v>0.83304766901611316</v>
      </c>
      <c r="F27" s="728">
        <v>2.1</v>
      </c>
      <c r="G27" s="728">
        <v>1.4686855229753488</v>
      </c>
      <c r="H27" s="729">
        <v>0.73100684067733412</v>
      </c>
      <c r="I27" s="727">
        <v>1.5776675541905678</v>
      </c>
      <c r="J27" s="728">
        <v>1.0190692596416</v>
      </c>
      <c r="K27" s="728">
        <v>1.4075080096415999</v>
      </c>
      <c r="L27" s="728">
        <v>3.4998242596416</v>
      </c>
      <c r="M27" s="729">
        <v>3.0110377596416003</v>
      </c>
      <c r="N27" s="584"/>
      <c r="O27" s="686">
        <v>5.3452085911549663</v>
      </c>
      <c r="P27" s="687">
        <v>0.73100684067733412</v>
      </c>
      <c r="Q27" s="688">
        <v>6.0762154318323001</v>
      </c>
      <c r="R27" s="706"/>
      <c r="S27" s="686">
        <v>10.515106842756968</v>
      </c>
      <c r="T27" s="309">
        <v>0.73053555469248843</v>
      </c>
    </row>
    <row r="28" spans="1:20" s="709" customFormat="1" ht="15" customHeight="1">
      <c r="A28" s="707"/>
      <c r="B28" s="1543"/>
      <c r="C28" s="730" t="s">
        <v>457</v>
      </c>
      <c r="D28" s="727">
        <v>2.8285127359917421</v>
      </c>
      <c r="E28" s="728">
        <v>3.9569764278265374</v>
      </c>
      <c r="F28" s="728">
        <v>0.9</v>
      </c>
      <c r="G28" s="728">
        <v>1.0586923673406299</v>
      </c>
      <c r="H28" s="729">
        <v>1.1444493168847281</v>
      </c>
      <c r="I28" s="727">
        <v>0.94956932459603927</v>
      </c>
      <c r="J28" s="728">
        <v>0.95445582879663249</v>
      </c>
      <c r="K28" s="728">
        <v>0.94691924343075984</v>
      </c>
      <c r="L28" s="728">
        <v>0.94691924343075984</v>
      </c>
      <c r="M28" s="729">
        <v>0.94691924343075984</v>
      </c>
      <c r="N28" s="584"/>
      <c r="O28" s="686">
        <v>8.7441815311589099</v>
      </c>
      <c r="P28" s="687">
        <v>1.1444493168847281</v>
      </c>
      <c r="Q28" s="688">
        <v>9.888630848043638</v>
      </c>
      <c r="R28" s="706"/>
      <c r="S28" s="686">
        <v>4.7447828836849517</v>
      </c>
      <c r="T28" s="309">
        <v>-0.52017797442366276</v>
      </c>
    </row>
    <row r="29" spans="1:20" s="709" customFormat="1" ht="15" customHeight="1">
      <c r="A29" s="707"/>
      <c r="B29" s="1543" t="s">
        <v>426</v>
      </c>
      <c r="C29" s="726" t="s">
        <v>454</v>
      </c>
      <c r="D29" s="727">
        <v>0.36504678988422556</v>
      </c>
      <c r="E29" s="728">
        <v>1.1825463420733153</v>
      </c>
      <c r="F29" s="728">
        <v>0.20527510736748361</v>
      </c>
      <c r="G29" s="728">
        <v>0.59282012077500001</v>
      </c>
      <c r="H29" s="729">
        <v>0.7359752015023171</v>
      </c>
      <c r="I29" s="727">
        <v>0.47338550163365856</v>
      </c>
      <c r="J29" s="728">
        <v>0.52271984999999999</v>
      </c>
      <c r="K29" s="728">
        <v>1.4038526624999998</v>
      </c>
      <c r="L29" s="728">
        <v>5.577895475</v>
      </c>
      <c r="M29" s="729">
        <v>10.422307350000001</v>
      </c>
      <c r="N29" s="584"/>
      <c r="O29" s="686">
        <v>2.3456883601000245</v>
      </c>
      <c r="P29" s="687">
        <v>0.7359752015023171</v>
      </c>
      <c r="Q29" s="688">
        <v>3.0816635616023413</v>
      </c>
      <c r="R29" s="706"/>
      <c r="S29" s="686">
        <v>18.400160839133658</v>
      </c>
      <c r="T29" s="309">
        <v>4.970853232779997</v>
      </c>
    </row>
    <row r="30" spans="1:20" s="709" customFormat="1" ht="15" customHeight="1">
      <c r="A30" s="707"/>
      <c r="B30" s="1543"/>
      <c r="C30" s="726" t="s">
        <v>115</v>
      </c>
      <c r="D30" s="727">
        <v>0</v>
      </c>
      <c r="E30" s="728">
        <v>0</v>
      </c>
      <c r="F30" s="728">
        <v>0</v>
      </c>
      <c r="G30" s="728">
        <v>2.7674039999999997E-2</v>
      </c>
      <c r="H30" s="729">
        <v>0.71443325560000004</v>
      </c>
      <c r="I30" s="727">
        <v>1.0494141993999999</v>
      </c>
      <c r="J30" s="728">
        <v>1.024147025</v>
      </c>
      <c r="K30" s="728">
        <v>1.03634995</v>
      </c>
      <c r="L30" s="728">
        <v>0.96836222500000013</v>
      </c>
      <c r="M30" s="729">
        <v>0.79268800000000006</v>
      </c>
      <c r="N30" s="584"/>
      <c r="O30" s="686">
        <v>2.7674039999999997E-2</v>
      </c>
      <c r="P30" s="687">
        <v>0.71443325560000004</v>
      </c>
      <c r="Q30" s="688">
        <v>0.74210729559999999</v>
      </c>
      <c r="R30" s="706"/>
      <c r="S30" s="686">
        <v>4.8709613993999996</v>
      </c>
      <c r="T30" s="309">
        <v>5.5636888739407766</v>
      </c>
    </row>
    <row r="31" spans="1:20" s="709" customFormat="1" ht="15" customHeight="1">
      <c r="A31" s="707"/>
      <c r="B31" s="1543"/>
      <c r="C31" s="730" t="s">
        <v>458</v>
      </c>
      <c r="D31" s="727">
        <v>0</v>
      </c>
      <c r="E31" s="728">
        <v>0</v>
      </c>
      <c r="F31" s="728">
        <v>0</v>
      </c>
      <c r="G31" s="728">
        <v>0</v>
      </c>
      <c r="H31" s="729">
        <v>0</v>
      </c>
      <c r="I31" s="727">
        <v>0</v>
      </c>
      <c r="J31" s="728">
        <v>0</v>
      </c>
      <c r="K31" s="728">
        <v>0</v>
      </c>
      <c r="L31" s="728">
        <v>0</v>
      </c>
      <c r="M31" s="729">
        <v>0</v>
      </c>
      <c r="N31" s="584"/>
      <c r="O31" s="686">
        <v>0</v>
      </c>
      <c r="P31" s="687">
        <v>0</v>
      </c>
      <c r="Q31" s="688">
        <v>0</v>
      </c>
      <c r="R31" s="706"/>
      <c r="S31" s="686">
        <v>0</v>
      </c>
      <c r="T31" s="309" t="s">
        <v>1018</v>
      </c>
    </row>
    <row r="32" spans="1:20" s="709" customFormat="1" ht="15" customHeight="1">
      <c r="A32" s="707"/>
      <c r="B32" s="1543"/>
      <c r="C32" s="730" t="s">
        <v>453</v>
      </c>
      <c r="D32" s="727">
        <v>0</v>
      </c>
      <c r="E32" s="728">
        <v>0</v>
      </c>
      <c r="F32" s="728">
        <v>0.1</v>
      </c>
      <c r="G32" s="728">
        <v>6.859090000000001E-2</v>
      </c>
      <c r="H32" s="729">
        <v>0.83988445000000012</v>
      </c>
      <c r="I32" s="727">
        <v>6.0257991892500007</v>
      </c>
      <c r="J32" s="728">
        <v>5.2471624750000005</v>
      </c>
      <c r="K32" s="728">
        <v>2.7420762999999999</v>
      </c>
      <c r="L32" s="728">
        <v>1.5797805250000003</v>
      </c>
      <c r="M32" s="729">
        <v>2.6522500000000001E-2</v>
      </c>
      <c r="N32" s="584"/>
      <c r="O32" s="686">
        <v>0.16859090000000002</v>
      </c>
      <c r="P32" s="687">
        <v>0.83988445000000012</v>
      </c>
      <c r="Q32" s="688">
        <v>1.0084753500000001</v>
      </c>
      <c r="R32" s="706"/>
      <c r="S32" s="686">
        <v>15.621340989250003</v>
      </c>
      <c r="T32" s="309">
        <v>14.49005733184257</v>
      </c>
    </row>
    <row r="33" spans="1:20" s="709" customFormat="1" ht="15" customHeight="1">
      <c r="A33" s="707"/>
      <c r="B33" s="1543"/>
      <c r="C33" s="730" t="s">
        <v>456</v>
      </c>
      <c r="D33" s="727">
        <v>0.62743019790301224</v>
      </c>
      <c r="E33" s="728">
        <v>0.62478575176208484</v>
      </c>
      <c r="F33" s="728">
        <v>0</v>
      </c>
      <c r="G33" s="728">
        <v>0.15596687074383725</v>
      </c>
      <c r="H33" s="729">
        <v>0.1036474680568335</v>
      </c>
      <c r="I33" s="727">
        <v>0.38605368509764199</v>
      </c>
      <c r="J33" s="728">
        <v>0.9117141899104001</v>
      </c>
      <c r="K33" s="728">
        <v>0.8177266899104001</v>
      </c>
      <c r="L33" s="728">
        <v>0.40511512741040001</v>
      </c>
      <c r="M33" s="729">
        <v>1.3887329399104</v>
      </c>
      <c r="N33" s="584"/>
      <c r="O33" s="686">
        <v>1.4081828204089344</v>
      </c>
      <c r="P33" s="687">
        <v>0.1036474680568335</v>
      </c>
      <c r="Q33" s="688">
        <v>1.5118302884657679</v>
      </c>
      <c r="R33" s="706"/>
      <c r="S33" s="686">
        <v>3.9093426322392419</v>
      </c>
      <c r="T33" s="309">
        <v>1.5858343109440622</v>
      </c>
    </row>
    <row r="34" spans="1:20" s="709" customFormat="1" ht="15" customHeight="1">
      <c r="A34" s="707"/>
      <c r="B34" s="1543"/>
      <c r="C34" s="730" t="s">
        <v>457</v>
      </c>
      <c r="D34" s="727">
        <v>2.0677729099607373E-2</v>
      </c>
      <c r="E34" s="728">
        <v>0</v>
      </c>
      <c r="F34" s="728">
        <v>0.1</v>
      </c>
      <c r="G34" s="728">
        <v>0</v>
      </c>
      <c r="H34" s="729">
        <v>0</v>
      </c>
      <c r="I34" s="727">
        <v>0</v>
      </c>
      <c r="J34" s="728">
        <v>0</v>
      </c>
      <c r="K34" s="728">
        <v>0</v>
      </c>
      <c r="L34" s="728">
        <v>0</v>
      </c>
      <c r="M34" s="729">
        <v>0</v>
      </c>
      <c r="N34" s="584"/>
      <c r="O34" s="686">
        <v>0.12067772909960738</v>
      </c>
      <c r="P34" s="687">
        <v>0</v>
      </c>
      <c r="Q34" s="688">
        <v>0.12067772909960738</v>
      </c>
      <c r="R34" s="706"/>
      <c r="S34" s="686">
        <v>0</v>
      </c>
      <c r="T34" s="309">
        <v>-1</v>
      </c>
    </row>
    <row r="35" spans="1:20" s="709" customFormat="1" ht="15" customHeight="1" thickBot="1">
      <c r="A35" s="707"/>
      <c r="B35" s="731" t="s">
        <v>459</v>
      </c>
      <c r="C35" s="732"/>
      <c r="D35" s="733">
        <v>27.58557972399425</v>
      </c>
      <c r="E35" s="734">
        <v>30.590500247064771</v>
      </c>
      <c r="F35" s="734">
        <v>33.005275107367488</v>
      </c>
      <c r="G35" s="734">
        <v>29.553269051619946</v>
      </c>
      <c r="H35" s="735">
        <v>34.186216710049102</v>
      </c>
      <c r="I35" s="733">
        <v>48.380140208497203</v>
      </c>
      <c r="J35" s="734">
        <v>48.408631211989196</v>
      </c>
      <c r="K35" s="734">
        <v>53.508487067327877</v>
      </c>
      <c r="L35" s="734">
        <v>65.012318969436691</v>
      </c>
      <c r="M35" s="735">
        <v>63.926331490136612</v>
      </c>
      <c r="N35" s="584"/>
      <c r="O35" s="736">
        <v>120.73462413004647</v>
      </c>
      <c r="P35" s="737">
        <v>34.186216710049102</v>
      </c>
      <c r="Q35" s="738">
        <v>154.92084084009556</v>
      </c>
      <c r="R35" s="706"/>
      <c r="S35" s="736">
        <v>279.23590894738754</v>
      </c>
      <c r="T35" s="341">
        <v>0.80244250827173147</v>
      </c>
    </row>
    <row r="36" spans="1:20" s="709" customFormat="1" ht="12.75">
      <c r="A36" s="707"/>
      <c r="B36" s="739"/>
      <c r="C36" s="739"/>
      <c r="D36" s="740"/>
      <c r="E36" s="740"/>
      <c r="F36" s="740"/>
      <c r="G36" s="740"/>
      <c r="H36" s="740"/>
      <c r="I36" s="740"/>
      <c r="J36" s="740"/>
      <c r="K36" s="740"/>
      <c r="L36" s="740"/>
      <c r="M36" s="740"/>
      <c r="N36" s="584"/>
      <c r="O36" s="584"/>
      <c r="P36" s="584"/>
      <c r="Q36" s="584"/>
    </row>
    <row r="37" spans="1:20" s="709" customFormat="1" ht="12.75">
      <c r="A37" s="707"/>
      <c r="B37" s="584"/>
      <c r="C37" s="584"/>
      <c r="D37" s="584"/>
      <c r="E37" s="584"/>
      <c r="F37" s="584"/>
      <c r="G37" s="584"/>
      <c r="H37" s="584"/>
      <c r="I37" s="584"/>
      <c r="J37" s="584"/>
      <c r="K37" s="584"/>
      <c r="L37" s="584"/>
      <c r="M37" s="584"/>
      <c r="N37" s="584"/>
      <c r="O37" s="584"/>
      <c r="P37" s="584"/>
      <c r="Q37" s="584"/>
    </row>
    <row r="38" spans="1:20" s="709" customFormat="1" ht="15" customHeight="1">
      <c r="A38" s="707"/>
      <c r="B38" s="704" t="s">
        <v>460</v>
      </c>
      <c r="C38" s="584"/>
      <c r="D38" s="584"/>
      <c r="E38" s="584"/>
      <c r="F38" s="584"/>
      <c r="G38" s="584"/>
      <c r="H38" s="584"/>
      <c r="I38" s="584"/>
      <c r="J38" s="584"/>
      <c r="K38" s="584"/>
      <c r="L38" s="584"/>
      <c r="M38" s="584"/>
      <c r="O38" s="584"/>
      <c r="P38" s="584"/>
      <c r="Q38" s="584"/>
    </row>
    <row r="39" spans="1:20" s="709" customFormat="1" ht="13.5" thickBot="1">
      <c r="A39" s="707"/>
      <c r="B39" s="584"/>
      <c r="C39" s="584"/>
      <c r="D39" s="584"/>
      <c r="E39" s="584"/>
      <c r="F39" s="584"/>
      <c r="G39" s="584"/>
      <c r="H39" s="584"/>
      <c r="I39" s="584"/>
      <c r="J39" s="584"/>
      <c r="K39" s="584"/>
      <c r="L39" s="584"/>
      <c r="M39" s="584"/>
      <c r="N39" s="706"/>
      <c r="O39" s="584"/>
      <c r="P39" s="584"/>
      <c r="Q39" s="584"/>
    </row>
    <row r="40" spans="1:20" s="709" customFormat="1" ht="15" customHeight="1">
      <c r="A40" s="707"/>
      <c r="B40" s="1544" t="s">
        <v>444</v>
      </c>
      <c r="C40" s="1545"/>
      <c r="D40" s="711" t="s">
        <v>445</v>
      </c>
      <c r="E40" s="711"/>
      <c r="F40" s="711"/>
      <c r="G40" s="711"/>
      <c r="H40" s="712"/>
      <c r="I40" s="710" t="s">
        <v>446</v>
      </c>
      <c r="J40" s="711"/>
      <c r="K40" s="711"/>
      <c r="L40" s="711"/>
      <c r="M40" s="712"/>
      <c r="N40" s="706"/>
      <c r="O40" s="119" t="s">
        <v>211</v>
      </c>
      <c r="P40" s="120"/>
      <c r="Q40" s="121"/>
      <c r="R40" s="706"/>
      <c r="S40" s="119" t="s">
        <v>212</v>
      </c>
      <c r="T40" s="121"/>
    </row>
    <row r="41" spans="1:20" s="709" customFormat="1" ht="15" customHeight="1">
      <c r="A41" s="707"/>
      <c r="B41" s="1546"/>
      <c r="C41" s="1547"/>
      <c r="D41" s="716" t="s">
        <v>99</v>
      </c>
      <c r="E41" s="714" t="s">
        <v>100</v>
      </c>
      <c r="F41" s="714" t="s">
        <v>101</v>
      </c>
      <c r="G41" s="714" t="s">
        <v>102</v>
      </c>
      <c r="H41" s="715" t="s">
        <v>64</v>
      </c>
      <c r="I41" s="713" t="s">
        <v>213</v>
      </c>
      <c r="J41" s="714" t="s">
        <v>214</v>
      </c>
      <c r="K41" s="714" t="s">
        <v>215</v>
      </c>
      <c r="L41" s="714" t="s">
        <v>216</v>
      </c>
      <c r="M41" s="715" t="s">
        <v>217</v>
      </c>
      <c r="N41" s="706"/>
      <c r="O41" s="126" t="s">
        <v>218</v>
      </c>
      <c r="P41" s="127" t="s">
        <v>219</v>
      </c>
      <c r="Q41" s="128" t="s">
        <v>220</v>
      </c>
      <c r="R41" s="706"/>
      <c r="S41" s="126" t="s">
        <v>219</v>
      </c>
      <c r="T41" s="128" t="s">
        <v>221</v>
      </c>
    </row>
    <row r="42" spans="1:20" s="709" customFormat="1" ht="15" customHeight="1">
      <c r="A42" s="707"/>
      <c r="B42" s="1548"/>
      <c r="C42" s="1549"/>
      <c r="D42" s="716" t="s">
        <v>223</v>
      </c>
      <c r="E42" s="714" t="s">
        <v>223</v>
      </c>
      <c r="F42" s="714" t="s">
        <v>223</v>
      </c>
      <c r="G42" s="714" t="s">
        <v>223</v>
      </c>
      <c r="H42" s="715" t="s">
        <v>223</v>
      </c>
      <c r="I42" s="716" t="s">
        <v>223</v>
      </c>
      <c r="J42" s="714" t="s">
        <v>223</v>
      </c>
      <c r="K42" s="714" t="s">
        <v>223</v>
      </c>
      <c r="L42" s="714" t="s">
        <v>223</v>
      </c>
      <c r="M42" s="715" t="s">
        <v>223</v>
      </c>
      <c r="N42" s="584"/>
      <c r="O42" s="717"/>
      <c r="P42" s="718"/>
      <c r="Q42" s="719"/>
      <c r="R42" s="706"/>
      <c r="S42" s="720"/>
      <c r="T42" s="721"/>
    </row>
    <row r="43" spans="1:20" s="709" customFormat="1" ht="15" customHeight="1">
      <c r="A43" s="707"/>
      <c r="B43" s="1550" t="s">
        <v>447</v>
      </c>
      <c r="C43" s="722" t="s">
        <v>448</v>
      </c>
      <c r="D43" s="741">
        <v>0.2160359756675399</v>
      </c>
      <c r="E43" s="741">
        <v>0.20826191725402829</v>
      </c>
      <c r="F43" s="741">
        <v>0.3</v>
      </c>
      <c r="G43" s="741">
        <v>0.65820871460999997</v>
      </c>
      <c r="H43" s="742">
        <v>0.86861755337969992</v>
      </c>
      <c r="I43" s="743">
        <v>0.43472288151030003</v>
      </c>
      <c r="J43" s="744">
        <v>0.43589981099999997</v>
      </c>
      <c r="K43" s="744">
        <v>0.43589981099999997</v>
      </c>
      <c r="L43" s="744">
        <v>0.43589981099999997</v>
      </c>
      <c r="M43" s="745">
        <v>0.43589981099999997</v>
      </c>
      <c r="N43" s="584"/>
      <c r="O43" s="686">
        <v>1.3825066075315682</v>
      </c>
      <c r="P43" s="687">
        <v>0.86861755337969992</v>
      </c>
      <c r="Q43" s="688">
        <v>2.2511241609112682</v>
      </c>
      <c r="R43" s="706"/>
      <c r="S43" s="686">
        <v>2.1783221255103</v>
      </c>
      <c r="T43" s="309">
        <v>-3.234030208777889E-2</v>
      </c>
    </row>
    <row r="44" spans="1:20" s="709" customFormat="1" ht="15" customHeight="1">
      <c r="A44" s="707"/>
      <c r="B44" s="1551"/>
      <c r="C44" s="726" t="s">
        <v>449</v>
      </c>
      <c r="D44" s="746">
        <v>2.3763957323429388</v>
      </c>
      <c r="E44" s="746">
        <v>2.6032739656753536</v>
      </c>
      <c r="F44" s="746">
        <v>2.6</v>
      </c>
      <c r="G44" s="746">
        <v>2.2034769779892902</v>
      </c>
      <c r="H44" s="747">
        <v>1.4742561540035692</v>
      </c>
      <c r="I44" s="748">
        <v>2.326649756525879</v>
      </c>
      <c r="J44" s="749">
        <v>1.8428605591909579</v>
      </c>
      <c r="K44" s="749">
        <v>1.479854491374182</v>
      </c>
      <c r="L44" s="749">
        <v>1.1872143961927424</v>
      </c>
      <c r="M44" s="750">
        <v>1.1733544318857823</v>
      </c>
      <c r="N44" s="584"/>
      <c r="O44" s="686">
        <v>9.7831466760075827</v>
      </c>
      <c r="P44" s="687">
        <v>1.4742561540035692</v>
      </c>
      <c r="Q44" s="688">
        <v>11.257402830011152</v>
      </c>
      <c r="R44" s="706"/>
      <c r="S44" s="686">
        <v>8.0099336351695438</v>
      </c>
      <c r="T44" s="309">
        <v>-0.2884741040077351</v>
      </c>
    </row>
    <row r="45" spans="1:20" s="709" customFormat="1" ht="15" customHeight="1">
      <c r="A45" s="707"/>
      <c r="B45" s="1551" t="s">
        <v>450</v>
      </c>
      <c r="C45" s="726" t="s">
        <v>448</v>
      </c>
      <c r="D45" s="746">
        <v>0</v>
      </c>
      <c r="E45" s="746">
        <v>0</v>
      </c>
      <c r="F45" s="746">
        <v>0</v>
      </c>
      <c r="G45" s="746">
        <v>0</v>
      </c>
      <c r="H45" s="747">
        <v>0</v>
      </c>
      <c r="I45" s="748">
        <v>0</v>
      </c>
      <c r="J45" s="749">
        <v>0</v>
      </c>
      <c r="K45" s="749">
        <v>0</v>
      </c>
      <c r="L45" s="749">
        <v>0</v>
      </c>
      <c r="M45" s="750">
        <v>0</v>
      </c>
      <c r="N45" s="584"/>
      <c r="O45" s="686">
        <v>0</v>
      </c>
      <c r="P45" s="687">
        <v>0</v>
      </c>
      <c r="Q45" s="688">
        <v>0</v>
      </c>
      <c r="R45" s="706"/>
      <c r="S45" s="686">
        <v>0</v>
      </c>
      <c r="T45" s="309" t="s">
        <v>1018</v>
      </c>
    </row>
    <row r="46" spans="1:20" s="709" customFormat="1" ht="15" customHeight="1">
      <c r="A46" s="707"/>
      <c r="B46" s="1551"/>
      <c r="C46" s="726" t="s">
        <v>449</v>
      </c>
      <c r="D46" s="746">
        <v>0</v>
      </c>
      <c r="E46" s="749">
        <v>0</v>
      </c>
      <c r="F46" s="749">
        <v>0</v>
      </c>
      <c r="G46" s="749">
        <v>0</v>
      </c>
      <c r="H46" s="750">
        <v>0.20168628108030934</v>
      </c>
      <c r="I46" s="748">
        <v>4.522941195954789E-2</v>
      </c>
      <c r="J46" s="749">
        <v>4.5351861986912552E-2</v>
      </c>
      <c r="K46" s="749">
        <v>4.5351861986912552E-2</v>
      </c>
      <c r="L46" s="749">
        <v>4.5351861986912552E-2</v>
      </c>
      <c r="M46" s="750">
        <v>4.5351861986912552E-2</v>
      </c>
      <c r="N46" s="584"/>
      <c r="O46" s="686">
        <v>0</v>
      </c>
      <c r="P46" s="687">
        <v>0.20168628108030934</v>
      </c>
      <c r="Q46" s="688">
        <v>0.20168628108030934</v>
      </c>
      <c r="R46" s="706"/>
      <c r="S46" s="686">
        <v>0.22663685990719809</v>
      </c>
      <c r="T46" s="309">
        <v>0.12370984626839193</v>
      </c>
    </row>
    <row r="47" spans="1:20" s="709" customFormat="1" ht="15" customHeight="1">
      <c r="A47" s="707"/>
      <c r="B47" s="1543" t="s">
        <v>368</v>
      </c>
      <c r="C47" s="726" t="s">
        <v>451</v>
      </c>
      <c r="D47" s="751">
        <v>3.2405396350130986</v>
      </c>
      <c r="E47" s="752">
        <v>3.9652383450805697</v>
      </c>
      <c r="F47" s="752">
        <v>6.9</v>
      </c>
      <c r="G47" s="752">
        <v>3.5347676715887051</v>
      </c>
      <c r="H47" s="753">
        <v>3.1139356808887557</v>
      </c>
      <c r="I47" s="754">
        <v>2.5112244400958148</v>
      </c>
      <c r="J47" s="752">
        <v>2.1522374109114</v>
      </c>
      <c r="K47" s="752">
        <v>2.3086686609114002</v>
      </c>
      <c r="L47" s="752">
        <v>2.7779624109114001</v>
      </c>
      <c r="M47" s="753">
        <v>2.9343936609114003</v>
      </c>
      <c r="N47" s="584"/>
      <c r="O47" s="686">
        <v>17.640545651682373</v>
      </c>
      <c r="P47" s="687">
        <v>3.1139356808887557</v>
      </c>
      <c r="Q47" s="688">
        <v>20.754481332571128</v>
      </c>
      <c r="R47" s="706"/>
      <c r="S47" s="686">
        <v>12.684486583741416</v>
      </c>
      <c r="T47" s="309">
        <v>-0.38883143449916208</v>
      </c>
    </row>
    <row r="48" spans="1:20" s="709" customFormat="1" ht="15" customHeight="1">
      <c r="A48" s="707"/>
      <c r="B48" s="1543"/>
      <c r="C48" s="726" t="s">
        <v>452</v>
      </c>
      <c r="D48" s="746">
        <v>0.72828780534031989</v>
      </c>
      <c r="E48" s="749">
        <v>2.4074049243023703</v>
      </c>
      <c r="F48" s="749">
        <v>2.4</v>
      </c>
      <c r="G48" s="749">
        <v>1.18851360849016</v>
      </c>
      <c r="H48" s="750">
        <v>2.4482467805519241</v>
      </c>
      <c r="I48" s="748">
        <v>2.6911000279011961</v>
      </c>
      <c r="J48" s="749">
        <v>2.4978442072607998</v>
      </c>
      <c r="K48" s="749">
        <v>2.4978442072607998</v>
      </c>
      <c r="L48" s="749">
        <v>2.4978442072607998</v>
      </c>
      <c r="M48" s="750">
        <v>2.4978442072607998</v>
      </c>
      <c r="N48" s="755"/>
      <c r="O48" s="686">
        <v>6.7242063381328503</v>
      </c>
      <c r="P48" s="687">
        <v>2.4482467805519241</v>
      </c>
      <c r="Q48" s="688">
        <v>9.1724531186847749</v>
      </c>
      <c r="R48" s="706"/>
      <c r="S48" s="686">
        <v>12.682476856944394</v>
      </c>
      <c r="T48" s="309">
        <v>0.38267012028761577</v>
      </c>
    </row>
    <row r="49" spans="1:20" s="709" customFormat="1" ht="15" customHeight="1">
      <c r="A49" s="707"/>
      <c r="B49" s="1543"/>
      <c r="C49" s="730" t="s">
        <v>453</v>
      </c>
      <c r="D49" s="746">
        <v>0.54008993916884973</v>
      </c>
      <c r="E49" s="749">
        <v>0.62478575176208484</v>
      </c>
      <c r="F49" s="749">
        <v>0.5</v>
      </c>
      <c r="G49" s="749">
        <v>1.1798448349764059</v>
      </c>
      <c r="H49" s="750">
        <v>2.0797919671206002</v>
      </c>
      <c r="I49" s="748">
        <v>2.8791947243665676</v>
      </c>
      <c r="J49" s="749">
        <v>2.5206698989938516</v>
      </c>
      <c r="K49" s="749">
        <v>2.7790453989938513</v>
      </c>
      <c r="L49" s="749">
        <v>3.0355668989938511</v>
      </c>
      <c r="M49" s="750">
        <v>3.2831788989938513</v>
      </c>
      <c r="N49" s="755"/>
      <c r="O49" s="686">
        <v>2.8447205259073405</v>
      </c>
      <c r="P49" s="687">
        <v>2.0797919671206002</v>
      </c>
      <c r="Q49" s="688">
        <v>4.9245124930279403</v>
      </c>
      <c r="R49" s="706"/>
      <c r="S49" s="686">
        <v>14.497655820341972</v>
      </c>
      <c r="T49" s="309">
        <v>1.9439778741281624</v>
      </c>
    </row>
    <row r="50" spans="1:20" s="709" customFormat="1" ht="15" customHeight="1">
      <c r="A50" s="707"/>
      <c r="B50" s="1543" t="s">
        <v>245</v>
      </c>
      <c r="C50" s="726" t="s">
        <v>454</v>
      </c>
      <c r="D50" s="751">
        <v>4.5367554890183373</v>
      </c>
      <c r="E50" s="752">
        <v>3.4</v>
      </c>
      <c r="F50" s="752">
        <v>4.9000000000000004</v>
      </c>
      <c r="G50" s="752">
        <v>5.2806251059632778</v>
      </c>
      <c r="H50" s="753">
        <v>3.932056076803407</v>
      </c>
      <c r="I50" s="754">
        <v>5.4520817236787238</v>
      </c>
      <c r="J50" s="752">
        <v>5.7687425113497595</v>
      </c>
      <c r="K50" s="752">
        <v>5.7687425113497595</v>
      </c>
      <c r="L50" s="752">
        <v>5.7682921544072592</v>
      </c>
      <c r="M50" s="753">
        <v>5.7669410835797592</v>
      </c>
      <c r="N50" s="584"/>
      <c r="O50" s="686">
        <v>18.117380594981615</v>
      </c>
      <c r="P50" s="687">
        <v>3.932056076803407</v>
      </c>
      <c r="Q50" s="688">
        <v>22.049436671785021</v>
      </c>
      <c r="R50" s="706"/>
      <c r="S50" s="686">
        <v>28.524799984365263</v>
      </c>
      <c r="T50" s="309">
        <v>0.29367477314584955</v>
      </c>
    </row>
    <row r="51" spans="1:20" s="709" customFormat="1" ht="15" customHeight="1">
      <c r="A51" s="707"/>
      <c r="B51" s="1543"/>
      <c r="C51" s="726" t="s">
        <v>115</v>
      </c>
      <c r="D51" s="746">
        <v>0.26414390267015997</v>
      </c>
      <c r="E51" s="749">
        <v>0.53717862764312696</v>
      </c>
      <c r="F51" s="749">
        <v>0.9</v>
      </c>
      <c r="G51" s="749">
        <v>1.20146384378029</v>
      </c>
      <c r="H51" s="750">
        <v>2.6640066877861983</v>
      </c>
      <c r="I51" s="748">
        <v>2.7389486810585773</v>
      </c>
      <c r="J51" s="749">
        <v>2.7647442134900002</v>
      </c>
      <c r="K51" s="749">
        <v>2.8198852634899998</v>
      </c>
      <c r="L51" s="749">
        <v>2.83826561349</v>
      </c>
      <c r="M51" s="750">
        <v>2.9117870134900001</v>
      </c>
      <c r="N51" s="584"/>
      <c r="O51" s="686">
        <v>2.9027863740935769</v>
      </c>
      <c r="P51" s="687">
        <v>2.6640066877861983</v>
      </c>
      <c r="Q51" s="688">
        <v>5.5667930618797747</v>
      </c>
      <c r="R51" s="706"/>
      <c r="S51" s="686">
        <v>14.073630785018578</v>
      </c>
      <c r="T51" s="309">
        <v>1.5281397437587243</v>
      </c>
    </row>
    <row r="52" spans="1:20" s="709" customFormat="1" ht="15" customHeight="1">
      <c r="A52" s="707"/>
      <c r="B52" s="1543"/>
      <c r="C52" s="730" t="s">
        <v>455</v>
      </c>
      <c r="D52" s="746">
        <v>0</v>
      </c>
      <c r="E52" s="749">
        <v>0</v>
      </c>
      <c r="F52" s="749">
        <v>0</v>
      </c>
      <c r="G52" s="749">
        <v>0</v>
      </c>
      <c r="H52" s="750">
        <v>0</v>
      </c>
      <c r="I52" s="748">
        <v>0</v>
      </c>
      <c r="J52" s="749">
        <v>0</v>
      </c>
      <c r="K52" s="749">
        <v>0</v>
      </c>
      <c r="L52" s="749">
        <v>0</v>
      </c>
      <c r="M52" s="750">
        <v>0</v>
      </c>
      <c r="N52" s="584"/>
      <c r="O52" s="686">
        <v>0</v>
      </c>
      <c r="P52" s="687">
        <v>0</v>
      </c>
      <c r="Q52" s="688">
        <v>0</v>
      </c>
      <c r="R52" s="706"/>
      <c r="S52" s="686">
        <v>0</v>
      </c>
      <c r="T52" s="309" t="s">
        <v>1018</v>
      </c>
    </row>
    <row r="53" spans="1:20" s="709" customFormat="1" ht="15" customHeight="1">
      <c r="A53" s="707"/>
      <c r="B53" s="1543"/>
      <c r="C53" s="730" t="s">
        <v>453</v>
      </c>
      <c r="D53" s="746">
        <v>0.70676169439635672</v>
      </c>
      <c r="E53" s="749">
        <v>1.2495715035241697</v>
      </c>
      <c r="F53" s="749">
        <v>0.8</v>
      </c>
      <c r="G53" s="749">
        <v>3.39247573489014</v>
      </c>
      <c r="H53" s="750">
        <v>3.7944920680980991</v>
      </c>
      <c r="I53" s="748">
        <v>5.9338719734242886</v>
      </c>
      <c r="J53" s="749">
        <v>5.2986200817450007</v>
      </c>
      <c r="K53" s="749">
        <v>5.4783550817450006</v>
      </c>
      <c r="L53" s="749">
        <v>6.4295600817449996</v>
      </c>
      <c r="M53" s="750">
        <v>8.4967700817450016</v>
      </c>
      <c r="N53" s="584"/>
      <c r="O53" s="686">
        <v>6.1488089328106668</v>
      </c>
      <c r="P53" s="687">
        <v>3.7944920680980991</v>
      </c>
      <c r="Q53" s="688">
        <v>9.9433010009087663</v>
      </c>
      <c r="R53" s="706"/>
      <c r="S53" s="686">
        <v>31.637177300404289</v>
      </c>
      <c r="T53" s="309">
        <v>2.1817579793182178</v>
      </c>
    </row>
    <row r="54" spans="1:20" s="709" customFormat="1" ht="15" customHeight="1">
      <c r="A54" s="707"/>
      <c r="B54" s="1543"/>
      <c r="C54" s="726" t="s">
        <v>456</v>
      </c>
      <c r="D54" s="746">
        <v>0</v>
      </c>
      <c r="E54" s="749">
        <v>0.10413095862701414</v>
      </c>
      <c r="F54" s="749">
        <v>0.3</v>
      </c>
      <c r="G54" s="749">
        <v>1.0872852542509999</v>
      </c>
      <c r="H54" s="750">
        <v>1.5477720925542984</v>
      </c>
      <c r="I54" s="748">
        <v>2.3447464885810971</v>
      </c>
      <c r="J54" s="749">
        <v>2.2452511518160003</v>
      </c>
      <c r="K54" s="749">
        <v>2.6443761518160001</v>
      </c>
      <c r="L54" s="749">
        <v>3.0435011518159998</v>
      </c>
      <c r="M54" s="750">
        <v>3.4419537701850005</v>
      </c>
      <c r="N54" s="584"/>
      <c r="O54" s="686">
        <v>1.491416212878014</v>
      </c>
      <c r="P54" s="687">
        <v>1.5477720925542984</v>
      </c>
      <c r="Q54" s="688">
        <v>3.0391883054323126</v>
      </c>
      <c r="R54" s="706"/>
      <c r="S54" s="686">
        <v>13.719828714214097</v>
      </c>
      <c r="T54" s="309">
        <v>3.5143068923011351</v>
      </c>
    </row>
    <row r="55" spans="1:20" s="709" customFormat="1" ht="15" customHeight="1">
      <c r="A55" s="707"/>
      <c r="B55" s="1543"/>
      <c r="C55" s="726" t="s">
        <v>457</v>
      </c>
      <c r="D55" s="746">
        <v>5.4502636121285306</v>
      </c>
      <c r="E55" s="749">
        <v>4.5817621795886216</v>
      </c>
      <c r="F55" s="749">
        <v>5.5</v>
      </c>
      <c r="G55" s="749">
        <v>1.6850947317510501</v>
      </c>
      <c r="H55" s="750">
        <v>1.722550937172967</v>
      </c>
      <c r="I55" s="748">
        <v>1.814545478539878</v>
      </c>
      <c r="J55" s="749">
        <v>1.6186153618705854</v>
      </c>
      <c r="K55" s="749">
        <v>1.7388932005169104</v>
      </c>
      <c r="L55" s="749">
        <v>2.0997596348746721</v>
      </c>
      <c r="M55" s="750">
        <v>2.0190142185900433</v>
      </c>
      <c r="N55" s="584"/>
      <c r="O55" s="686">
        <v>17.217120523468203</v>
      </c>
      <c r="P55" s="687">
        <v>1.722550937172967</v>
      </c>
      <c r="Q55" s="688">
        <v>18.939671460641172</v>
      </c>
      <c r="R55" s="706"/>
      <c r="S55" s="686">
        <v>9.2908278943920877</v>
      </c>
      <c r="T55" s="309">
        <v>-0.50945147524340628</v>
      </c>
    </row>
    <row r="56" spans="1:20" s="709" customFormat="1" ht="15" customHeight="1">
      <c r="A56" s="707"/>
      <c r="B56" s="1543" t="s">
        <v>427</v>
      </c>
      <c r="C56" s="726" t="s">
        <v>454</v>
      </c>
      <c r="D56" s="751">
        <v>0</v>
      </c>
      <c r="E56" s="752">
        <v>0.8</v>
      </c>
      <c r="F56" s="752">
        <v>1</v>
      </c>
      <c r="G56" s="752">
        <v>1.9063358707750004</v>
      </c>
      <c r="H56" s="753">
        <v>1.3848461780424675</v>
      </c>
      <c r="I56" s="754">
        <v>1.9706324852137826</v>
      </c>
      <c r="J56" s="752">
        <v>4.8767343745250011</v>
      </c>
      <c r="K56" s="752">
        <v>6.6005559319000007</v>
      </c>
      <c r="L56" s="752">
        <v>10.273326751775002</v>
      </c>
      <c r="M56" s="753">
        <v>5.1142635242750005</v>
      </c>
      <c r="N56" s="584"/>
      <c r="O56" s="686">
        <v>3.7063358707750007</v>
      </c>
      <c r="P56" s="687">
        <v>1.3848461780424675</v>
      </c>
      <c r="Q56" s="688">
        <v>5.0911820488174682</v>
      </c>
      <c r="R56" s="706"/>
      <c r="S56" s="686">
        <v>28.835513067688787</v>
      </c>
      <c r="T56" s="309">
        <v>4.6638149630470247</v>
      </c>
    </row>
    <row r="57" spans="1:20" s="709" customFormat="1" ht="15" customHeight="1">
      <c r="A57" s="707"/>
      <c r="B57" s="1543"/>
      <c r="C57" s="726" t="s">
        <v>115</v>
      </c>
      <c r="D57" s="746">
        <v>1.2962158540052395</v>
      </c>
      <c r="E57" s="749">
        <v>2.7074049243023675</v>
      </c>
      <c r="F57" s="749">
        <v>1.9</v>
      </c>
      <c r="G57" s="749">
        <v>0.68265825000000013</v>
      </c>
      <c r="H57" s="750">
        <v>2.3040424320000006</v>
      </c>
      <c r="I57" s="748">
        <v>5.4019797080000007</v>
      </c>
      <c r="J57" s="749">
        <v>4.4963362500000006</v>
      </c>
      <c r="K57" s="749">
        <v>3.919343125000001</v>
      </c>
      <c r="L57" s="749">
        <v>3.728342500000001</v>
      </c>
      <c r="M57" s="750">
        <v>3.7155318750000004</v>
      </c>
      <c r="N57" s="584"/>
      <c r="O57" s="686">
        <v>6.5862790283076071</v>
      </c>
      <c r="P57" s="687">
        <v>2.3040424320000006</v>
      </c>
      <c r="Q57" s="688">
        <v>8.8903214603076073</v>
      </c>
      <c r="R57" s="706"/>
      <c r="S57" s="686">
        <v>21.261533458000002</v>
      </c>
      <c r="T57" s="309">
        <v>1.3915370836618037</v>
      </c>
    </row>
    <row r="58" spans="1:20" s="709" customFormat="1" ht="15" customHeight="1">
      <c r="A58" s="707"/>
      <c r="B58" s="1543"/>
      <c r="C58" s="726" t="s">
        <v>455</v>
      </c>
      <c r="D58" s="746">
        <v>0</v>
      </c>
      <c r="E58" s="749">
        <v>0</v>
      </c>
      <c r="F58" s="749">
        <v>0</v>
      </c>
      <c r="G58" s="749">
        <v>0</v>
      </c>
      <c r="H58" s="750">
        <v>0</v>
      </c>
      <c r="I58" s="748">
        <v>0</v>
      </c>
      <c r="J58" s="749">
        <v>0</v>
      </c>
      <c r="K58" s="749">
        <v>0</v>
      </c>
      <c r="L58" s="749">
        <v>0</v>
      </c>
      <c r="M58" s="750">
        <v>0</v>
      </c>
      <c r="N58" s="584"/>
      <c r="O58" s="686">
        <v>0</v>
      </c>
      <c r="P58" s="687">
        <v>0</v>
      </c>
      <c r="Q58" s="688">
        <v>0</v>
      </c>
      <c r="R58" s="706"/>
      <c r="S58" s="686">
        <v>0</v>
      </c>
      <c r="T58" s="309" t="s">
        <v>1018</v>
      </c>
    </row>
    <row r="59" spans="1:20" s="709" customFormat="1" ht="15" customHeight="1">
      <c r="A59" s="707"/>
      <c r="B59" s="1543"/>
      <c r="C59" s="726" t="s">
        <v>453</v>
      </c>
      <c r="D59" s="746">
        <v>1.8449472322007909</v>
      </c>
      <c r="E59" s="749">
        <v>0.10413095862701414</v>
      </c>
      <c r="F59" s="749">
        <v>0.4</v>
      </c>
      <c r="G59" s="749">
        <v>0.50005703999999995</v>
      </c>
      <c r="H59" s="750">
        <v>8.9131168450000034E-2</v>
      </c>
      <c r="I59" s="748">
        <v>0.46576637080000011</v>
      </c>
      <c r="J59" s="749">
        <v>1.2554412500000001</v>
      </c>
      <c r="K59" s="749">
        <v>5.7272248750000001</v>
      </c>
      <c r="L59" s="749">
        <v>6.9635209999999992</v>
      </c>
      <c r="M59" s="750">
        <v>4.5918256187499997</v>
      </c>
      <c r="N59" s="584"/>
      <c r="O59" s="686">
        <v>2.8491352308278053</v>
      </c>
      <c r="P59" s="687">
        <v>8.9131168450000034E-2</v>
      </c>
      <c r="Q59" s="688">
        <v>2.9382663992778055</v>
      </c>
      <c r="R59" s="706"/>
      <c r="S59" s="686">
        <v>19.003779114549999</v>
      </c>
      <c r="T59" s="309">
        <v>5.4676841824896911</v>
      </c>
    </row>
    <row r="60" spans="1:20" s="709" customFormat="1" ht="15" customHeight="1">
      <c r="A60" s="707"/>
      <c r="B60" s="1543"/>
      <c r="C60" s="726" t="s">
        <v>456</v>
      </c>
      <c r="D60" s="746">
        <v>0.9434753991635042</v>
      </c>
      <c r="E60" s="749">
        <v>0.83304766901611316</v>
      </c>
      <c r="F60" s="749">
        <v>2.1</v>
      </c>
      <c r="G60" s="749">
        <v>1.4686855229753488</v>
      </c>
      <c r="H60" s="750">
        <v>0.73100684067733412</v>
      </c>
      <c r="I60" s="748">
        <v>1.5776675541905678</v>
      </c>
      <c r="J60" s="749">
        <v>1.0190692596416</v>
      </c>
      <c r="K60" s="749">
        <v>1.4075080096415999</v>
      </c>
      <c r="L60" s="749">
        <v>3.4998242596416</v>
      </c>
      <c r="M60" s="750">
        <v>3.0110377596416003</v>
      </c>
      <c r="N60" s="584"/>
      <c r="O60" s="686">
        <v>5.3452085911549663</v>
      </c>
      <c r="P60" s="687">
        <v>0.73100684067733412</v>
      </c>
      <c r="Q60" s="688">
        <v>6.0762154318323001</v>
      </c>
      <c r="R60" s="706"/>
      <c r="S60" s="686">
        <v>10.515106842756968</v>
      </c>
      <c r="T60" s="309">
        <v>0.73053555469248843</v>
      </c>
    </row>
    <row r="61" spans="1:20" s="709" customFormat="1" ht="15" customHeight="1">
      <c r="A61" s="707"/>
      <c r="B61" s="1543"/>
      <c r="C61" s="730" t="s">
        <v>457</v>
      </c>
      <c r="D61" s="746">
        <v>2.8285127359917421</v>
      </c>
      <c r="E61" s="749">
        <v>3.9569764278265374</v>
      </c>
      <c r="F61" s="749">
        <v>0.9</v>
      </c>
      <c r="G61" s="749">
        <v>1.0586923673406299</v>
      </c>
      <c r="H61" s="750">
        <v>1.1444493168847281</v>
      </c>
      <c r="I61" s="748">
        <v>0.94956932459603927</v>
      </c>
      <c r="J61" s="749">
        <v>0.95445582879663249</v>
      </c>
      <c r="K61" s="749">
        <v>0.94691924343075984</v>
      </c>
      <c r="L61" s="749">
        <v>0.94691924343075984</v>
      </c>
      <c r="M61" s="750">
        <v>0.94691924343075984</v>
      </c>
      <c r="N61" s="584"/>
      <c r="O61" s="686">
        <v>8.7441815311589099</v>
      </c>
      <c r="P61" s="687">
        <v>1.1444493168847281</v>
      </c>
      <c r="Q61" s="688">
        <v>9.888630848043638</v>
      </c>
      <c r="R61" s="706"/>
      <c r="S61" s="686">
        <v>4.7447828836849517</v>
      </c>
      <c r="T61" s="309">
        <v>-0.52017797442366276</v>
      </c>
    </row>
    <row r="62" spans="1:20" s="709" customFormat="1" ht="15" customHeight="1">
      <c r="A62" s="707"/>
      <c r="B62" s="1543" t="s">
        <v>426</v>
      </c>
      <c r="C62" s="726" t="s">
        <v>454</v>
      </c>
      <c r="D62" s="751">
        <v>0.36504678988422556</v>
      </c>
      <c r="E62" s="752">
        <v>1.1825463420733153</v>
      </c>
      <c r="F62" s="752">
        <v>0.20527510736748361</v>
      </c>
      <c r="G62" s="752">
        <v>0.59282012077500001</v>
      </c>
      <c r="H62" s="753">
        <v>0.7359752015023171</v>
      </c>
      <c r="I62" s="754">
        <v>0.47338550163365856</v>
      </c>
      <c r="J62" s="752">
        <v>0.52271984999999999</v>
      </c>
      <c r="K62" s="752">
        <v>1.4038526624999998</v>
      </c>
      <c r="L62" s="752">
        <v>5.577895475</v>
      </c>
      <c r="M62" s="753">
        <v>10.422307350000001</v>
      </c>
      <c r="N62" s="584"/>
      <c r="O62" s="686">
        <v>2.3456883601000245</v>
      </c>
      <c r="P62" s="687">
        <v>0.7359752015023171</v>
      </c>
      <c r="Q62" s="688">
        <v>3.0816635616023413</v>
      </c>
      <c r="R62" s="706"/>
      <c r="S62" s="686">
        <v>18.400160839133658</v>
      </c>
      <c r="T62" s="309">
        <v>4.970853232779997</v>
      </c>
    </row>
    <row r="63" spans="1:20" s="709" customFormat="1" ht="15" customHeight="1">
      <c r="A63" s="707"/>
      <c r="B63" s="1543"/>
      <c r="C63" s="726" t="s">
        <v>115</v>
      </c>
      <c r="D63" s="746">
        <v>0</v>
      </c>
      <c r="E63" s="749">
        <v>0</v>
      </c>
      <c r="F63" s="749">
        <v>0</v>
      </c>
      <c r="G63" s="749">
        <v>2.7674039999999997E-2</v>
      </c>
      <c r="H63" s="750">
        <v>0.71443325560000004</v>
      </c>
      <c r="I63" s="748">
        <v>1.0494141993999999</v>
      </c>
      <c r="J63" s="749">
        <v>1.024147025</v>
      </c>
      <c r="K63" s="749">
        <v>1.03634995</v>
      </c>
      <c r="L63" s="749">
        <v>0.96836222500000013</v>
      </c>
      <c r="M63" s="750">
        <v>0.79268800000000006</v>
      </c>
      <c r="N63" s="584"/>
      <c r="O63" s="686">
        <v>2.7674039999999997E-2</v>
      </c>
      <c r="P63" s="687">
        <v>0.71443325560000004</v>
      </c>
      <c r="Q63" s="688">
        <v>0.74210729559999999</v>
      </c>
      <c r="R63" s="706"/>
      <c r="S63" s="686">
        <v>4.8709613993999996</v>
      </c>
      <c r="T63" s="309">
        <v>5.5636888739407766</v>
      </c>
    </row>
    <row r="64" spans="1:20" s="709" customFormat="1" ht="15" customHeight="1">
      <c r="A64" s="707"/>
      <c r="B64" s="1543"/>
      <c r="C64" s="730" t="s">
        <v>458</v>
      </c>
      <c r="D64" s="746">
        <v>0</v>
      </c>
      <c r="E64" s="749">
        <v>0</v>
      </c>
      <c r="F64" s="749">
        <v>0</v>
      </c>
      <c r="G64" s="749">
        <v>0</v>
      </c>
      <c r="H64" s="750">
        <v>0</v>
      </c>
      <c r="I64" s="748">
        <v>0</v>
      </c>
      <c r="J64" s="749">
        <v>0</v>
      </c>
      <c r="K64" s="749">
        <v>0</v>
      </c>
      <c r="L64" s="749">
        <v>0</v>
      </c>
      <c r="M64" s="750">
        <v>0</v>
      </c>
      <c r="N64" s="584"/>
      <c r="O64" s="686">
        <v>0</v>
      </c>
      <c r="P64" s="687">
        <v>0</v>
      </c>
      <c r="Q64" s="688">
        <v>0</v>
      </c>
      <c r="R64" s="706"/>
      <c r="S64" s="686">
        <v>0</v>
      </c>
      <c r="T64" s="309" t="s">
        <v>1018</v>
      </c>
    </row>
    <row r="65" spans="1:20" s="709" customFormat="1" ht="15" customHeight="1">
      <c r="A65" s="707"/>
      <c r="B65" s="1543"/>
      <c r="C65" s="730" t="s">
        <v>453</v>
      </c>
      <c r="D65" s="746">
        <v>0</v>
      </c>
      <c r="E65" s="749">
        <v>0</v>
      </c>
      <c r="F65" s="749">
        <v>0.1</v>
      </c>
      <c r="G65" s="749">
        <v>6.859090000000001E-2</v>
      </c>
      <c r="H65" s="750">
        <v>0.83988445000000012</v>
      </c>
      <c r="I65" s="748">
        <v>6.0257991892500007</v>
      </c>
      <c r="J65" s="749">
        <v>5.2471624750000005</v>
      </c>
      <c r="K65" s="749">
        <v>2.7420762999999999</v>
      </c>
      <c r="L65" s="749">
        <v>1.5797805250000003</v>
      </c>
      <c r="M65" s="750">
        <v>2.6522500000000001E-2</v>
      </c>
      <c r="N65" s="584"/>
      <c r="O65" s="686">
        <v>0.16859090000000002</v>
      </c>
      <c r="P65" s="687">
        <v>0.83988445000000012</v>
      </c>
      <c r="Q65" s="688">
        <v>1.0084753500000001</v>
      </c>
      <c r="R65" s="706"/>
      <c r="S65" s="686">
        <v>15.621340989250003</v>
      </c>
      <c r="T65" s="309">
        <v>14.49005733184257</v>
      </c>
    </row>
    <row r="66" spans="1:20" s="709" customFormat="1" ht="15" customHeight="1">
      <c r="A66" s="707"/>
      <c r="B66" s="1543"/>
      <c r="C66" s="730" t="s">
        <v>456</v>
      </c>
      <c r="D66" s="746">
        <v>0.62743019790301224</v>
      </c>
      <c r="E66" s="749">
        <v>0.62478575176208484</v>
      </c>
      <c r="F66" s="749">
        <v>0</v>
      </c>
      <c r="G66" s="749">
        <v>0.15596687074383725</v>
      </c>
      <c r="H66" s="750">
        <v>0.1036474680568335</v>
      </c>
      <c r="I66" s="748">
        <v>0.38605368509764199</v>
      </c>
      <c r="J66" s="749">
        <v>0.9117141899104001</v>
      </c>
      <c r="K66" s="749">
        <v>0.8177266899104001</v>
      </c>
      <c r="L66" s="749">
        <v>0.40511512741040001</v>
      </c>
      <c r="M66" s="750">
        <v>1.3887329399104</v>
      </c>
      <c r="N66" s="584"/>
      <c r="O66" s="686">
        <v>1.4081828204089344</v>
      </c>
      <c r="P66" s="687">
        <v>0.1036474680568335</v>
      </c>
      <c r="Q66" s="688">
        <v>1.5118302884657679</v>
      </c>
      <c r="R66" s="706"/>
      <c r="S66" s="686">
        <v>3.9093426322392419</v>
      </c>
      <c r="T66" s="309">
        <v>1.5858343109440622</v>
      </c>
    </row>
    <row r="67" spans="1:20" s="709" customFormat="1" ht="15" customHeight="1" thickBot="1">
      <c r="A67" s="707"/>
      <c r="B67" s="1555"/>
      <c r="C67" s="756" t="s">
        <v>457</v>
      </c>
      <c r="D67" s="757">
        <v>2.0677729099607373E-2</v>
      </c>
      <c r="E67" s="758">
        <v>0</v>
      </c>
      <c r="F67" s="758">
        <v>0.1</v>
      </c>
      <c r="G67" s="758">
        <v>0</v>
      </c>
      <c r="H67" s="759">
        <v>0</v>
      </c>
      <c r="I67" s="760">
        <v>0</v>
      </c>
      <c r="J67" s="758">
        <v>0</v>
      </c>
      <c r="K67" s="758">
        <v>0</v>
      </c>
      <c r="L67" s="758">
        <v>0</v>
      </c>
      <c r="M67" s="759">
        <v>0</v>
      </c>
      <c r="N67" s="584"/>
      <c r="O67" s="686">
        <v>0.12067772909960738</v>
      </c>
      <c r="P67" s="687">
        <v>0</v>
      </c>
      <c r="Q67" s="688">
        <v>0.12067772909960738</v>
      </c>
      <c r="R67" s="706"/>
      <c r="S67" s="686">
        <v>0</v>
      </c>
      <c r="T67" s="309">
        <v>-1</v>
      </c>
    </row>
    <row r="68" spans="1:20" s="709" customFormat="1" ht="15" customHeight="1" thickBot="1">
      <c r="A68" s="707"/>
      <c r="B68" s="761" t="s">
        <v>461</v>
      </c>
      <c r="C68" s="762"/>
      <c r="D68" s="763">
        <v>25.985579723994249</v>
      </c>
      <c r="E68" s="764">
        <v>29.890500247064772</v>
      </c>
      <c r="F68" s="764">
        <v>31.805275107367486</v>
      </c>
      <c r="G68" s="764">
        <v>27.873237460900135</v>
      </c>
      <c r="H68" s="765">
        <v>31.894828590653507</v>
      </c>
      <c r="I68" s="766">
        <v>47.472583605823559</v>
      </c>
      <c r="J68" s="764">
        <v>47.498617572488897</v>
      </c>
      <c r="K68" s="764">
        <v>52.598473427827578</v>
      </c>
      <c r="L68" s="764">
        <v>64.102305329936399</v>
      </c>
      <c r="M68" s="765">
        <v>63.016317850636312</v>
      </c>
      <c r="N68" s="584"/>
      <c r="O68" s="736">
        <v>115.55459253932665</v>
      </c>
      <c r="P68" s="737">
        <v>31.894828590653507</v>
      </c>
      <c r="Q68" s="738">
        <v>147.44942112998015</v>
      </c>
      <c r="R68" s="706"/>
      <c r="S68" s="736">
        <v>274.68829778671272</v>
      </c>
      <c r="T68" s="341">
        <v>0.86293235796815027</v>
      </c>
    </row>
    <row r="69" spans="1:20" s="709" customFormat="1" ht="12.75">
      <c r="A69" s="707"/>
      <c r="B69" s="739"/>
      <c r="C69" s="739"/>
      <c r="D69" s="706"/>
      <c r="E69" s="706"/>
      <c r="F69" s="706"/>
      <c r="G69" s="706"/>
      <c r="H69" s="706"/>
      <c r="I69" s="706"/>
      <c r="J69" s="706"/>
      <c r="K69" s="706"/>
      <c r="L69" s="706"/>
      <c r="M69" s="706"/>
      <c r="N69" s="584"/>
      <c r="O69" s="584"/>
      <c r="P69" s="584"/>
      <c r="Q69" s="584"/>
    </row>
    <row r="70" spans="1:20" s="709" customFormat="1" ht="12.75">
      <c r="A70" s="707"/>
      <c r="B70" s="584"/>
      <c r="C70" s="584"/>
      <c r="D70" s="584"/>
      <c r="E70" s="584"/>
      <c r="F70" s="584"/>
      <c r="G70" s="584"/>
      <c r="H70" s="584"/>
      <c r="I70" s="584"/>
      <c r="J70" s="584"/>
      <c r="K70" s="584"/>
      <c r="L70" s="584"/>
      <c r="M70" s="584"/>
      <c r="N70" s="584"/>
      <c r="O70" s="584"/>
      <c r="P70" s="584"/>
      <c r="Q70" s="584"/>
    </row>
    <row r="71" spans="1:20" s="709" customFormat="1" ht="12.75">
      <c r="A71" s="707"/>
      <c r="B71" s="704" t="s">
        <v>462</v>
      </c>
      <c r="C71" s="584"/>
      <c r="D71" s="584"/>
      <c r="E71" s="584"/>
      <c r="F71" s="584"/>
      <c r="G71" s="584"/>
      <c r="H71" s="584"/>
      <c r="I71" s="584"/>
      <c r="J71" s="584"/>
      <c r="K71" s="584"/>
      <c r="L71" s="584"/>
      <c r="M71" s="584"/>
      <c r="N71" s="706"/>
      <c r="O71" s="584"/>
      <c r="P71" s="584"/>
      <c r="Q71" s="584"/>
    </row>
    <row r="72" spans="1:20" s="709" customFormat="1" ht="13.5" thickBot="1">
      <c r="A72" s="707"/>
      <c r="B72" s="584"/>
      <c r="C72" s="584"/>
      <c r="D72" s="584"/>
      <c r="E72" s="584"/>
      <c r="F72" s="584"/>
      <c r="G72" s="584"/>
      <c r="H72" s="584"/>
      <c r="I72" s="584"/>
      <c r="J72" s="584"/>
      <c r="K72" s="584"/>
      <c r="L72" s="584"/>
      <c r="M72" s="584"/>
      <c r="N72" s="706"/>
      <c r="O72" s="584"/>
      <c r="P72" s="584"/>
      <c r="Q72" s="584"/>
    </row>
    <row r="73" spans="1:20" s="709" customFormat="1" ht="12.75">
      <c r="A73" s="707"/>
      <c r="B73" s="1544" t="s">
        <v>444</v>
      </c>
      <c r="C73" s="1545"/>
      <c r="D73" s="711" t="s">
        <v>445</v>
      </c>
      <c r="E73" s="711"/>
      <c r="F73" s="711"/>
      <c r="G73" s="711"/>
      <c r="H73" s="712"/>
      <c r="I73" s="710" t="s">
        <v>446</v>
      </c>
      <c r="J73" s="711"/>
      <c r="K73" s="711"/>
      <c r="L73" s="711"/>
      <c r="M73" s="712"/>
      <c r="N73" s="706"/>
      <c r="O73" s="119" t="s">
        <v>211</v>
      </c>
      <c r="P73" s="120"/>
      <c r="Q73" s="121"/>
      <c r="R73" s="706"/>
      <c r="S73" s="119" t="s">
        <v>212</v>
      </c>
      <c r="T73" s="121"/>
    </row>
    <row r="74" spans="1:20" s="709" customFormat="1" ht="12.75">
      <c r="A74" s="707"/>
      <c r="B74" s="1546"/>
      <c r="C74" s="1547"/>
      <c r="D74" s="716" t="s">
        <v>99</v>
      </c>
      <c r="E74" s="714" t="s">
        <v>100</v>
      </c>
      <c r="F74" s="714" t="s">
        <v>101</v>
      </c>
      <c r="G74" s="714" t="s">
        <v>102</v>
      </c>
      <c r="H74" s="715" t="s">
        <v>64</v>
      </c>
      <c r="I74" s="713" t="s">
        <v>213</v>
      </c>
      <c r="J74" s="714" t="s">
        <v>214</v>
      </c>
      <c r="K74" s="714" t="s">
        <v>215</v>
      </c>
      <c r="L74" s="714" t="s">
        <v>216</v>
      </c>
      <c r="M74" s="715" t="s">
        <v>217</v>
      </c>
      <c r="N74" s="706"/>
      <c r="O74" s="126" t="s">
        <v>218</v>
      </c>
      <c r="P74" s="127" t="s">
        <v>219</v>
      </c>
      <c r="Q74" s="128" t="s">
        <v>220</v>
      </c>
      <c r="R74" s="706"/>
      <c r="S74" s="126" t="s">
        <v>219</v>
      </c>
      <c r="T74" s="128" t="s">
        <v>221</v>
      </c>
    </row>
    <row r="75" spans="1:20" s="709" customFormat="1" ht="12.75">
      <c r="A75" s="707"/>
      <c r="B75" s="1548"/>
      <c r="C75" s="1549"/>
      <c r="D75" s="716" t="s">
        <v>223</v>
      </c>
      <c r="E75" s="714" t="s">
        <v>223</v>
      </c>
      <c r="F75" s="714" t="s">
        <v>223</v>
      </c>
      <c r="G75" s="714" t="s">
        <v>223</v>
      </c>
      <c r="H75" s="715" t="s">
        <v>223</v>
      </c>
      <c r="I75" s="713" t="s">
        <v>223</v>
      </c>
      <c r="J75" s="714" t="s">
        <v>223</v>
      </c>
      <c r="K75" s="714" t="s">
        <v>223</v>
      </c>
      <c r="L75" s="714" t="s">
        <v>223</v>
      </c>
      <c r="M75" s="715" t="s">
        <v>223</v>
      </c>
      <c r="N75" s="584"/>
      <c r="O75" s="717"/>
      <c r="P75" s="718"/>
      <c r="Q75" s="719"/>
      <c r="R75" s="706"/>
      <c r="S75" s="720"/>
      <c r="T75" s="721"/>
    </row>
    <row r="76" spans="1:20" s="709" customFormat="1" ht="14.25" customHeight="1">
      <c r="A76" s="707"/>
      <c r="B76" s="1550" t="s">
        <v>447</v>
      </c>
      <c r="C76" s="722" t="s">
        <v>448</v>
      </c>
      <c r="D76" s="741">
        <v>0</v>
      </c>
      <c r="E76" s="741">
        <v>0</v>
      </c>
      <c r="F76" s="741">
        <v>0</v>
      </c>
      <c r="G76" s="741">
        <v>0</v>
      </c>
      <c r="H76" s="742">
        <v>0</v>
      </c>
      <c r="I76" s="743">
        <v>0</v>
      </c>
      <c r="J76" s="744">
        <v>0</v>
      </c>
      <c r="K76" s="744">
        <v>0</v>
      </c>
      <c r="L76" s="744">
        <v>0</v>
      </c>
      <c r="M76" s="745">
        <v>0</v>
      </c>
      <c r="N76" s="584"/>
      <c r="O76" s="686">
        <v>0</v>
      </c>
      <c r="P76" s="687">
        <v>0</v>
      </c>
      <c r="Q76" s="688">
        <v>0</v>
      </c>
      <c r="R76" s="706"/>
      <c r="S76" s="686">
        <v>0</v>
      </c>
      <c r="T76" s="309" t="s">
        <v>1018</v>
      </c>
    </row>
    <row r="77" spans="1:20" s="709" customFormat="1" ht="15" customHeight="1">
      <c r="A77" s="707"/>
      <c r="B77" s="1551"/>
      <c r="C77" s="726" t="s">
        <v>449</v>
      </c>
      <c r="D77" s="746">
        <v>0</v>
      </c>
      <c r="E77" s="746">
        <v>0</v>
      </c>
      <c r="F77" s="746">
        <v>0</v>
      </c>
      <c r="G77" s="746">
        <v>0</v>
      </c>
      <c r="H77" s="747">
        <v>0.6026537749815587</v>
      </c>
      <c r="I77" s="748">
        <v>0.33549546951576448</v>
      </c>
      <c r="J77" s="749">
        <v>0.33640375966686503</v>
      </c>
      <c r="K77" s="749">
        <v>0.33640375966686503</v>
      </c>
      <c r="L77" s="749">
        <v>0.33640375966686503</v>
      </c>
      <c r="M77" s="750">
        <v>0.33640375966686503</v>
      </c>
      <c r="N77" s="584"/>
      <c r="O77" s="686">
        <v>0</v>
      </c>
      <c r="P77" s="687">
        <v>0.6026537749815587</v>
      </c>
      <c r="Q77" s="688">
        <v>0.6026537749815587</v>
      </c>
      <c r="R77" s="706"/>
      <c r="S77" s="686">
        <v>1.6811105081832245</v>
      </c>
      <c r="T77" s="309">
        <v>1.7895129475206002</v>
      </c>
    </row>
    <row r="78" spans="1:20" s="709" customFormat="1" ht="14.25" customHeight="1">
      <c r="A78" s="707"/>
      <c r="B78" s="1551" t="s">
        <v>450</v>
      </c>
      <c r="C78" s="726" t="s">
        <v>448</v>
      </c>
      <c r="D78" s="746">
        <v>0</v>
      </c>
      <c r="E78" s="746">
        <v>0</v>
      </c>
      <c r="F78" s="746">
        <v>0</v>
      </c>
      <c r="G78" s="746">
        <v>0</v>
      </c>
      <c r="H78" s="747">
        <v>0</v>
      </c>
      <c r="I78" s="748">
        <v>0</v>
      </c>
      <c r="J78" s="749">
        <v>0</v>
      </c>
      <c r="K78" s="749">
        <v>0</v>
      </c>
      <c r="L78" s="749">
        <v>0</v>
      </c>
      <c r="M78" s="750">
        <v>0</v>
      </c>
      <c r="N78" s="584"/>
      <c r="O78" s="686">
        <v>0</v>
      </c>
      <c r="P78" s="687">
        <v>0</v>
      </c>
      <c r="Q78" s="688">
        <v>0</v>
      </c>
      <c r="R78" s="706"/>
      <c r="S78" s="686">
        <v>0</v>
      </c>
      <c r="T78" s="309" t="s">
        <v>1018</v>
      </c>
    </row>
    <row r="79" spans="1:20" s="709" customFormat="1" ht="15" customHeight="1">
      <c r="A79" s="707"/>
      <c r="B79" s="1551"/>
      <c r="C79" s="726" t="s">
        <v>449</v>
      </c>
      <c r="D79" s="746">
        <v>0</v>
      </c>
      <c r="E79" s="746">
        <v>0</v>
      </c>
      <c r="F79" s="746">
        <v>0</v>
      </c>
      <c r="G79" s="746">
        <v>0</v>
      </c>
      <c r="H79" s="747">
        <v>0</v>
      </c>
      <c r="I79" s="748">
        <v>0</v>
      </c>
      <c r="J79" s="749">
        <v>0</v>
      </c>
      <c r="K79" s="749">
        <v>0</v>
      </c>
      <c r="L79" s="749">
        <v>0</v>
      </c>
      <c r="M79" s="750">
        <v>0</v>
      </c>
      <c r="N79" s="584"/>
      <c r="O79" s="686">
        <v>0</v>
      </c>
      <c r="P79" s="687">
        <v>0</v>
      </c>
      <c r="Q79" s="688">
        <v>0</v>
      </c>
      <c r="R79" s="706"/>
      <c r="S79" s="686">
        <v>0</v>
      </c>
      <c r="T79" s="309" t="s">
        <v>1018</v>
      </c>
    </row>
    <row r="80" spans="1:20" s="709" customFormat="1" ht="14.25" customHeight="1">
      <c r="A80" s="707"/>
      <c r="B80" s="1543" t="s">
        <v>368</v>
      </c>
      <c r="C80" s="726" t="s">
        <v>451</v>
      </c>
      <c r="D80" s="746">
        <v>0</v>
      </c>
      <c r="E80" s="746">
        <v>0</v>
      </c>
      <c r="F80" s="746">
        <v>0</v>
      </c>
      <c r="G80" s="746">
        <v>0</v>
      </c>
      <c r="H80" s="747">
        <v>1.5474161189767997E-2</v>
      </c>
      <c r="I80" s="748">
        <v>1.2319295086258182E-2</v>
      </c>
      <c r="J80" s="749">
        <v>1.2352647233789413E-2</v>
      </c>
      <c r="K80" s="749">
        <v>1.2352647233789413E-2</v>
      </c>
      <c r="L80" s="749">
        <v>1.2352647233789413E-2</v>
      </c>
      <c r="M80" s="750">
        <v>1.2352647233789413E-2</v>
      </c>
      <c r="N80" s="584"/>
      <c r="O80" s="686">
        <v>0</v>
      </c>
      <c r="P80" s="687">
        <v>1.5474161189767997E-2</v>
      </c>
      <c r="Q80" s="688">
        <v>1.5474161189767997E-2</v>
      </c>
      <c r="R80" s="706"/>
      <c r="S80" s="686">
        <v>6.1729884021415833E-2</v>
      </c>
      <c r="T80" s="309">
        <v>2.9892232777201246</v>
      </c>
    </row>
    <row r="81" spans="1:20" s="709" customFormat="1" ht="14.25" customHeight="1">
      <c r="A81" s="707"/>
      <c r="B81" s="1543"/>
      <c r="C81" s="726" t="s">
        <v>452</v>
      </c>
      <c r="D81" s="746">
        <v>1</v>
      </c>
      <c r="E81" s="746">
        <v>0.3</v>
      </c>
      <c r="F81" s="746">
        <v>0.7</v>
      </c>
      <c r="G81" s="746">
        <v>1.4357756383105298</v>
      </c>
      <c r="H81" s="747">
        <v>1.3739614229625225</v>
      </c>
      <c r="I81" s="748">
        <v>0.26900647403593103</v>
      </c>
      <c r="J81" s="749">
        <v>0.26973475788221302</v>
      </c>
      <c r="K81" s="749">
        <v>0.26973475788221302</v>
      </c>
      <c r="L81" s="749">
        <v>0.26973475788221302</v>
      </c>
      <c r="M81" s="750">
        <v>0.26973475788221302</v>
      </c>
      <c r="N81" s="584"/>
      <c r="O81" s="686">
        <v>3.4357756383105298</v>
      </c>
      <c r="P81" s="687">
        <v>1.3739614229625225</v>
      </c>
      <c r="Q81" s="688">
        <v>4.8097370612730526</v>
      </c>
      <c r="R81" s="706"/>
      <c r="S81" s="686">
        <v>1.3479455055647831</v>
      </c>
      <c r="T81" s="309">
        <v>-0.71974652909446035</v>
      </c>
    </row>
    <row r="82" spans="1:20" s="709" customFormat="1" ht="15" customHeight="1">
      <c r="A82" s="707"/>
      <c r="B82" s="1543"/>
      <c r="C82" s="730" t="s">
        <v>453</v>
      </c>
      <c r="D82" s="746">
        <v>0</v>
      </c>
      <c r="E82" s="746">
        <v>0</v>
      </c>
      <c r="F82" s="746">
        <v>0.1</v>
      </c>
      <c r="G82" s="746">
        <v>8.1836287923854861E-2</v>
      </c>
      <c r="H82" s="747">
        <v>-1.2352647233789413E-2</v>
      </c>
      <c r="I82" s="748">
        <v>0</v>
      </c>
      <c r="J82" s="749">
        <v>0</v>
      </c>
      <c r="K82" s="749">
        <v>0</v>
      </c>
      <c r="L82" s="749">
        <v>0</v>
      </c>
      <c r="M82" s="750">
        <v>0</v>
      </c>
      <c r="N82" s="584"/>
      <c r="O82" s="686">
        <v>0.18183628792385487</v>
      </c>
      <c r="P82" s="687">
        <v>-1.2352647233789413E-2</v>
      </c>
      <c r="Q82" s="688">
        <v>0.16948364069006544</v>
      </c>
      <c r="R82" s="706"/>
      <c r="S82" s="686">
        <v>0</v>
      </c>
      <c r="T82" s="309">
        <v>-1</v>
      </c>
    </row>
    <row r="83" spans="1:20" s="709" customFormat="1" ht="14.25" customHeight="1">
      <c r="A83" s="707"/>
      <c r="B83" s="1543" t="s">
        <v>245</v>
      </c>
      <c r="C83" s="726" t="s">
        <v>454</v>
      </c>
      <c r="D83" s="746">
        <v>0</v>
      </c>
      <c r="E83" s="746">
        <v>0</v>
      </c>
      <c r="F83" s="746">
        <v>0</v>
      </c>
      <c r="G83" s="746">
        <v>0</v>
      </c>
      <c r="H83" s="747">
        <v>0</v>
      </c>
      <c r="I83" s="748">
        <v>0</v>
      </c>
      <c r="J83" s="749">
        <v>0</v>
      </c>
      <c r="K83" s="749">
        <v>0</v>
      </c>
      <c r="L83" s="749">
        <v>0</v>
      </c>
      <c r="M83" s="750">
        <v>0</v>
      </c>
      <c r="N83" s="584"/>
      <c r="O83" s="686">
        <v>0</v>
      </c>
      <c r="P83" s="687">
        <v>0</v>
      </c>
      <c r="Q83" s="688">
        <v>0</v>
      </c>
      <c r="R83" s="706"/>
      <c r="S83" s="686">
        <v>0</v>
      </c>
      <c r="T83" s="309" t="s">
        <v>1018</v>
      </c>
    </row>
    <row r="84" spans="1:20" s="709" customFormat="1" ht="14.25" customHeight="1">
      <c r="A84" s="707"/>
      <c r="B84" s="1543"/>
      <c r="C84" s="726" t="s">
        <v>115</v>
      </c>
      <c r="D84" s="746">
        <v>0.6</v>
      </c>
      <c r="E84" s="746">
        <v>0.4</v>
      </c>
      <c r="F84" s="746">
        <v>0.4</v>
      </c>
      <c r="G84" s="746">
        <v>0.16241966448542536</v>
      </c>
      <c r="H84" s="747">
        <v>0.31165140749553844</v>
      </c>
      <c r="I84" s="748">
        <v>0.29073536403569306</v>
      </c>
      <c r="J84" s="749">
        <v>0.29152247471743015</v>
      </c>
      <c r="K84" s="749">
        <v>0.29152247471743015</v>
      </c>
      <c r="L84" s="749">
        <v>0.29152247471743015</v>
      </c>
      <c r="M84" s="750">
        <v>0.29152247471743015</v>
      </c>
      <c r="N84" s="584"/>
      <c r="O84" s="686">
        <v>1.5624196644854254</v>
      </c>
      <c r="P84" s="687">
        <v>0.31165140749553844</v>
      </c>
      <c r="Q84" s="688">
        <v>1.8740710719809637</v>
      </c>
      <c r="R84" s="706"/>
      <c r="S84" s="686">
        <v>1.4568252629054135</v>
      </c>
      <c r="T84" s="309">
        <v>-0.2226414010192824</v>
      </c>
    </row>
    <row r="85" spans="1:20" s="709" customFormat="1" ht="14.25" customHeight="1">
      <c r="A85" s="707"/>
      <c r="B85" s="1543"/>
      <c r="C85" s="730" t="s">
        <v>455</v>
      </c>
      <c r="D85" s="746">
        <v>0</v>
      </c>
      <c r="E85" s="746">
        <v>0</v>
      </c>
      <c r="F85" s="746">
        <v>0</v>
      </c>
      <c r="G85" s="746">
        <v>0</v>
      </c>
      <c r="H85" s="747">
        <v>0</v>
      </c>
      <c r="I85" s="748">
        <v>0</v>
      </c>
      <c r="J85" s="749">
        <v>0</v>
      </c>
      <c r="K85" s="749">
        <v>0</v>
      </c>
      <c r="L85" s="749">
        <v>0</v>
      </c>
      <c r="M85" s="750">
        <v>0</v>
      </c>
      <c r="N85" s="584"/>
      <c r="O85" s="686">
        <v>0</v>
      </c>
      <c r="P85" s="687">
        <v>0</v>
      </c>
      <c r="Q85" s="688">
        <v>0</v>
      </c>
      <c r="R85" s="706"/>
      <c r="S85" s="686">
        <v>0</v>
      </c>
      <c r="T85" s="309" t="s">
        <v>1018</v>
      </c>
    </row>
    <row r="86" spans="1:20" s="709" customFormat="1" ht="14.25" customHeight="1">
      <c r="A86" s="707"/>
      <c r="B86" s="1543"/>
      <c r="C86" s="730" t="s">
        <v>453</v>
      </c>
      <c r="D86" s="746">
        <v>0</v>
      </c>
      <c r="E86" s="746">
        <v>0</v>
      </c>
      <c r="F86" s="746">
        <v>0</v>
      </c>
      <c r="G86" s="746">
        <v>0</v>
      </c>
      <c r="H86" s="747">
        <v>0</v>
      </c>
      <c r="I86" s="748">
        <v>0</v>
      </c>
      <c r="J86" s="749">
        <v>0</v>
      </c>
      <c r="K86" s="749">
        <v>0</v>
      </c>
      <c r="L86" s="749">
        <v>0</v>
      </c>
      <c r="M86" s="750">
        <v>0</v>
      </c>
      <c r="N86" s="584"/>
      <c r="O86" s="686">
        <v>0</v>
      </c>
      <c r="P86" s="687">
        <v>0</v>
      </c>
      <c r="Q86" s="688">
        <v>0</v>
      </c>
      <c r="R86" s="706"/>
      <c r="S86" s="686">
        <v>0</v>
      </c>
      <c r="T86" s="309" t="s">
        <v>1018</v>
      </c>
    </row>
    <row r="87" spans="1:20" s="709" customFormat="1" ht="14.25" customHeight="1">
      <c r="A87" s="707"/>
      <c r="B87" s="1543"/>
      <c r="C87" s="726" t="s">
        <v>456</v>
      </c>
      <c r="D87" s="746">
        <v>0</v>
      </c>
      <c r="E87" s="746">
        <v>0</v>
      </c>
      <c r="F87" s="746">
        <v>0</v>
      </c>
      <c r="G87" s="746">
        <v>0</v>
      </c>
      <c r="H87" s="747">
        <v>0</v>
      </c>
      <c r="I87" s="748">
        <v>0</v>
      </c>
      <c r="J87" s="749">
        <v>0</v>
      </c>
      <c r="K87" s="749">
        <v>0</v>
      </c>
      <c r="L87" s="749">
        <v>0</v>
      </c>
      <c r="M87" s="750">
        <v>0</v>
      </c>
      <c r="N87" s="584"/>
      <c r="O87" s="686">
        <v>0</v>
      </c>
      <c r="P87" s="687">
        <v>0</v>
      </c>
      <c r="Q87" s="688">
        <v>0</v>
      </c>
      <c r="R87" s="706"/>
      <c r="S87" s="686">
        <v>0</v>
      </c>
      <c r="T87" s="309" t="s">
        <v>1018</v>
      </c>
    </row>
    <row r="88" spans="1:20" s="709" customFormat="1" ht="15" customHeight="1">
      <c r="A88" s="707"/>
      <c r="B88" s="1543"/>
      <c r="C88" s="726" t="s">
        <v>457</v>
      </c>
      <c r="D88" s="746">
        <v>0</v>
      </c>
      <c r="E88" s="746">
        <v>0</v>
      </c>
      <c r="F88" s="746">
        <v>0</v>
      </c>
      <c r="G88" s="746">
        <v>0</v>
      </c>
      <c r="H88" s="747">
        <v>0</v>
      </c>
      <c r="I88" s="748">
        <v>0</v>
      </c>
      <c r="J88" s="749">
        <v>0</v>
      </c>
      <c r="K88" s="749">
        <v>0</v>
      </c>
      <c r="L88" s="749">
        <v>0</v>
      </c>
      <c r="M88" s="750">
        <v>0</v>
      </c>
      <c r="N88" s="584"/>
      <c r="O88" s="686">
        <v>0</v>
      </c>
      <c r="P88" s="687">
        <v>0</v>
      </c>
      <c r="Q88" s="688">
        <v>0</v>
      </c>
      <c r="R88" s="706"/>
      <c r="S88" s="686">
        <v>0</v>
      </c>
      <c r="T88" s="309" t="s">
        <v>1018</v>
      </c>
    </row>
    <row r="89" spans="1:20" s="709" customFormat="1" ht="14.25" customHeight="1">
      <c r="A89" s="707"/>
      <c r="B89" s="1543" t="s">
        <v>427</v>
      </c>
      <c r="C89" s="726" t="s">
        <v>454</v>
      </c>
      <c r="D89" s="746">
        <v>0</v>
      </c>
      <c r="E89" s="746">
        <v>0</v>
      </c>
      <c r="F89" s="746">
        <v>0</v>
      </c>
      <c r="G89" s="746">
        <v>0</v>
      </c>
      <c r="H89" s="747">
        <v>0</v>
      </c>
      <c r="I89" s="748">
        <v>0</v>
      </c>
      <c r="J89" s="749">
        <v>0</v>
      </c>
      <c r="K89" s="749">
        <v>0</v>
      </c>
      <c r="L89" s="749">
        <v>0</v>
      </c>
      <c r="M89" s="750">
        <v>0</v>
      </c>
      <c r="N89" s="584"/>
      <c r="O89" s="686">
        <v>0</v>
      </c>
      <c r="P89" s="687">
        <v>0</v>
      </c>
      <c r="Q89" s="688">
        <v>0</v>
      </c>
      <c r="R89" s="706"/>
      <c r="S89" s="686">
        <v>0</v>
      </c>
      <c r="T89" s="309" t="s">
        <v>1018</v>
      </c>
    </row>
    <row r="90" spans="1:20" s="709" customFormat="1" ht="14.25" customHeight="1">
      <c r="A90" s="707"/>
      <c r="B90" s="1543"/>
      <c r="C90" s="726" t="s">
        <v>115</v>
      </c>
      <c r="D90" s="746">
        <v>0</v>
      </c>
      <c r="E90" s="746">
        <v>0</v>
      </c>
      <c r="F90" s="746">
        <v>0</v>
      </c>
      <c r="G90" s="746">
        <v>0</v>
      </c>
      <c r="H90" s="747">
        <v>0</v>
      </c>
      <c r="I90" s="748">
        <v>0</v>
      </c>
      <c r="J90" s="749">
        <v>0</v>
      </c>
      <c r="K90" s="749">
        <v>0</v>
      </c>
      <c r="L90" s="749">
        <v>0</v>
      </c>
      <c r="M90" s="750">
        <v>0</v>
      </c>
      <c r="N90" s="584"/>
      <c r="O90" s="686">
        <v>0</v>
      </c>
      <c r="P90" s="687">
        <v>0</v>
      </c>
      <c r="Q90" s="688">
        <v>0</v>
      </c>
      <c r="R90" s="706"/>
      <c r="S90" s="686">
        <v>0</v>
      </c>
      <c r="T90" s="309" t="s">
        <v>1018</v>
      </c>
    </row>
    <row r="91" spans="1:20" s="709" customFormat="1" ht="14.25" customHeight="1">
      <c r="A91" s="707"/>
      <c r="B91" s="1543"/>
      <c r="C91" s="726" t="s">
        <v>455</v>
      </c>
      <c r="D91" s="746">
        <v>0</v>
      </c>
      <c r="E91" s="746">
        <v>0</v>
      </c>
      <c r="F91" s="746">
        <v>0</v>
      </c>
      <c r="G91" s="746">
        <v>0</v>
      </c>
      <c r="H91" s="747">
        <v>0</v>
      </c>
      <c r="I91" s="748">
        <v>0</v>
      </c>
      <c r="J91" s="749">
        <v>0</v>
      </c>
      <c r="K91" s="749">
        <v>0</v>
      </c>
      <c r="L91" s="749">
        <v>0</v>
      </c>
      <c r="M91" s="750">
        <v>0</v>
      </c>
      <c r="N91" s="584"/>
      <c r="O91" s="686">
        <v>0</v>
      </c>
      <c r="P91" s="687">
        <v>0</v>
      </c>
      <c r="Q91" s="688">
        <v>0</v>
      </c>
      <c r="R91" s="706"/>
      <c r="S91" s="686">
        <v>0</v>
      </c>
      <c r="T91" s="309" t="s">
        <v>1018</v>
      </c>
    </row>
    <row r="92" spans="1:20" s="709" customFormat="1" ht="14.25" customHeight="1">
      <c r="A92" s="707"/>
      <c r="B92" s="1543"/>
      <c r="C92" s="726" t="s">
        <v>453</v>
      </c>
      <c r="D92" s="746">
        <v>0</v>
      </c>
      <c r="E92" s="746">
        <v>0</v>
      </c>
      <c r="F92" s="746">
        <v>0</v>
      </c>
      <c r="G92" s="746">
        <v>0</v>
      </c>
      <c r="H92" s="747">
        <v>0</v>
      </c>
      <c r="I92" s="748">
        <v>0</v>
      </c>
      <c r="J92" s="749">
        <v>0</v>
      </c>
      <c r="K92" s="749">
        <v>0</v>
      </c>
      <c r="L92" s="749">
        <v>0</v>
      </c>
      <c r="M92" s="750">
        <v>0</v>
      </c>
      <c r="N92" s="584"/>
      <c r="O92" s="686">
        <v>0</v>
      </c>
      <c r="P92" s="687">
        <v>0</v>
      </c>
      <c r="Q92" s="688">
        <v>0</v>
      </c>
      <c r="R92" s="706"/>
      <c r="S92" s="686">
        <v>0</v>
      </c>
      <c r="T92" s="309" t="s">
        <v>1018</v>
      </c>
    </row>
    <row r="93" spans="1:20" s="709" customFormat="1" ht="14.25" customHeight="1">
      <c r="A93" s="707"/>
      <c r="B93" s="1543"/>
      <c r="C93" s="726" t="s">
        <v>456</v>
      </c>
      <c r="D93" s="746">
        <v>0</v>
      </c>
      <c r="E93" s="746">
        <v>0</v>
      </c>
      <c r="F93" s="746">
        <v>0</v>
      </c>
      <c r="G93" s="746">
        <v>0</v>
      </c>
      <c r="H93" s="747">
        <v>0</v>
      </c>
      <c r="I93" s="748">
        <v>0</v>
      </c>
      <c r="J93" s="749">
        <v>0</v>
      </c>
      <c r="K93" s="749">
        <v>0</v>
      </c>
      <c r="L93" s="749">
        <v>0</v>
      </c>
      <c r="M93" s="750">
        <v>0</v>
      </c>
      <c r="N93" s="584"/>
      <c r="O93" s="686">
        <v>0</v>
      </c>
      <c r="P93" s="687">
        <v>0</v>
      </c>
      <c r="Q93" s="688">
        <v>0</v>
      </c>
      <c r="R93" s="706"/>
      <c r="S93" s="686">
        <v>0</v>
      </c>
      <c r="T93" s="309" t="s">
        <v>1018</v>
      </c>
    </row>
    <row r="94" spans="1:20" s="709" customFormat="1" ht="15" customHeight="1">
      <c r="A94" s="707"/>
      <c r="B94" s="1543"/>
      <c r="C94" s="730" t="s">
        <v>457</v>
      </c>
      <c r="D94" s="746">
        <v>0</v>
      </c>
      <c r="E94" s="746">
        <v>0</v>
      </c>
      <c r="F94" s="746">
        <v>0</v>
      </c>
      <c r="G94" s="746">
        <v>0</v>
      </c>
      <c r="H94" s="747">
        <v>0</v>
      </c>
      <c r="I94" s="748">
        <v>0</v>
      </c>
      <c r="J94" s="749">
        <v>0</v>
      </c>
      <c r="K94" s="749">
        <v>0</v>
      </c>
      <c r="L94" s="749">
        <v>0</v>
      </c>
      <c r="M94" s="750">
        <v>0</v>
      </c>
      <c r="N94" s="584"/>
      <c r="O94" s="686">
        <v>0</v>
      </c>
      <c r="P94" s="687">
        <v>0</v>
      </c>
      <c r="Q94" s="688">
        <v>0</v>
      </c>
      <c r="R94" s="706"/>
      <c r="S94" s="686">
        <v>0</v>
      </c>
      <c r="T94" s="309" t="s">
        <v>1018</v>
      </c>
    </row>
    <row r="95" spans="1:20" s="709" customFormat="1" ht="14.25" customHeight="1">
      <c r="A95" s="707"/>
      <c r="B95" s="1543" t="s">
        <v>426</v>
      </c>
      <c r="C95" s="726" t="s">
        <v>454</v>
      </c>
      <c r="D95" s="746">
        <v>0</v>
      </c>
      <c r="E95" s="746">
        <v>0</v>
      </c>
      <c r="F95" s="746">
        <v>0</v>
      </c>
      <c r="G95" s="746">
        <v>0</v>
      </c>
      <c r="H95" s="747">
        <v>0</v>
      </c>
      <c r="I95" s="748">
        <v>0</v>
      </c>
      <c r="J95" s="749">
        <v>0</v>
      </c>
      <c r="K95" s="749">
        <v>0</v>
      </c>
      <c r="L95" s="749">
        <v>0</v>
      </c>
      <c r="M95" s="750">
        <v>0</v>
      </c>
      <c r="N95" s="584"/>
      <c r="O95" s="686">
        <v>0</v>
      </c>
      <c r="P95" s="687">
        <v>0</v>
      </c>
      <c r="Q95" s="688">
        <v>0</v>
      </c>
      <c r="R95" s="706"/>
      <c r="S95" s="686">
        <v>0</v>
      </c>
      <c r="T95" s="309" t="s">
        <v>1018</v>
      </c>
    </row>
    <row r="96" spans="1:20" s="709" customFormat="1" ht="14.25" customHeight="1">
      <c r="A96" s="707"/>
      <c r="B96" s="1543"/>
      <c r="C96" s="726" t="s">
        <v>115</v>
      </c>
      <c r="D96" s="746">
        <v>0</v>
      </c>
      <c r="E96" s="746">
        <v>0</v>
      </c>
      <c r="F96" s="746">
        <v>0</v>
      </c>
      <c r="G96" s="746">
        <v>0</v>
      </c>
      <c r="H96" s="747">
        <v>0</v>
      </c>
      <c r="I96" s="748">
        <v>0</v>
      </c>
      <c r="J96" s="749">
        <v>0</v>
      </c>
      <c r="K96" s="749">
        <v>0</v>
      </c>
      <c r="L96" s="749">
        <v>0</v>
      </c>
      <c r="M96" s="750">
        <v>0</v>
      </c>
      <c r="N96" s="584"/>
      <c r="O96" s="686">
        <v>0</v>
      </c>
      <c r="P96" s="687">
        <v>0</v>
      </c>
      <c r="Q96" s="688">
        <v>0</v>
      </c>
      <c r="R96" s="706"/>
      <c r="S96" s="686">
        <v>0</v>
      </c>
      <c r="T96" s="309" t="s">
        <v>1018</v>
      </c>
    </row>
    <row r="97" spans="1:20" s="709" customFormat="1" ht="14.25" customHeight="1">
      <c r="A97" s="707"/>
      <c r="B97" s="1543"/>
      <c r="C97" s="730" t="s">
        <v>458</v>
      </c>
      <c r="D97" s="746">
        <v>0</v>
      </c>
      <c r="E97" s="746">
        <v>0</v>
      </c>
      <c r="F97" s="746">
        <v>0</v>
      </c>
      <c r="G97" s="746">
        <v>0</v>
      </c>
      <c r="H97" s="747">
        <v>0</v>
      </c>
      <c r="I97" s="748">
        <v>0</v>
      </c>
      <c r="J97" s="749">
        <v>0</v>
      </c>
      <c r="K97" s="749">
        <v>0</v>
      </c>
      <c r="L97" s="749">
        <v>0</v>
      </c>
      <c r="M97" s="750">
        <v>0</v>
      </c>
      <c r="N97" s="584"/>
      <c r="O97" s="686">
        <v>0</v>
      </c>
      <c r="P97" s="687">
        <v>0</v>
      </c>
      <c r="Q97" s="688">
        <v>0</v>
      </c>
      <c r="R97" s="706"/>
      <c r="S97" s="686">
        <v>0</v>
      </c>
      <c r="T97" s="309" t="s">
        <v>1018</v>
      </c>
    </row>
    <row r="98" spans="1:20" s="709" customFormat="1" ht="14.25" customHeight="1">
      <c r="A98" s="707"/>
      <c r="B98" s="1543"/>
      <c r="C98" s="730" t="s">
        <v>453</v>
      </c>
      <c r="D98" s="746">
        <v>0</v>
      </c>
      <c r="E98" s="746">
        <v>0</v>
      </c>
      <c r="F98" s="746">
        <v>0</v>
      </c>
      <c r="G98" s="746">
        <v>0</v>
      </c>
      <c r="H98" s="747">
        <v>0</v>
      </c>
      <c r="I98" s="748">
        <v>0</v>
      </c>
      <c r="J98" s="749">
        <v>0</v>
      </c>
      <c r="K98" s="749">
        <v>0</v>
      </c>
      <c r="L98" s="749">
        <v>0</v>
      </c>
      <c r="M98" s="750">
        <v>0</v>
      </c>
      <c r="N98" s="584"/>
      <c r="O98" s="686">
        <v>0</v>
      </c>
      <c r="P98" s="687">
        <v>0</v>
      </c>
      <c r="Q98" s="688">
        <v>0</v>
      </c>
      <c r="R98" s="706"/>
      <c r="S98" s="686">
        <v>0</v>
      </c>
      <c r="T98" s="309" t="s">
        <v>1018</v>
      </c>
    </row>
    <row r="99" spans="1:20" s="709" customFormat="1" ht="14.25" customHeight="1">
      <c r="A99" s="707"/>
      <c r="B99" s="1543"/>
      <c r="C99" s="730" t="s">
        <v>456</v>
      </c>
      <c r="D99" s="746">
        <v>0</v>
      </c>
      <c r="E99" s="746">
        <v>0</v>
      </c>
      <c r="F99" s="746">
        <v>0</v>
      </c>
      <c r="G99" s="746">
        <v>0</v>
      </c>
      <c r="H99" s="747">
        <v>0</v>
      </c>
      <c r="I99" s="748">
        <v>0</v>
      </c>
      <c r="J99" s="749">
        <v>0</v>
      </c>
      <c r="K99" s="749">
        <v>0</v>
      </c>
      <c r="L99" s="749">
        <v>0</v>
      </c>
      <c r="M99" s="750">
        <v>0</v>
      </c>
      <c r="N99" s="584"/>
      <c r="O99" s="686">
        <v>0</v>
      </c>
      <c r="P99" s="687">
        <v>0</v>
      </c>
      <c r="Q99" s="688">
        <v>0</v>
      </c>
      <c r="R99" s="706"/>
      <c r="S99" s="686">
        <v>0</v>
      </c>
      <c r="T99" s="309" t="s">
        <v>1018</v>
      </c>
    </row>
    <row r="100" spans="1:20" s="709" customFormat="1" ht="15" customHeight="1">
      <c r="A100" s="707"/>
      <c r="B100" s="1543"/>
      <c r="C100" s="730" t="s">
        <v>457</v>
      </c>
      <c r="D100" s="746">
        <v>0</v>
      </c>
      <c r="E100" s="746">
        <v>0</v>
      </c>
      <c r="F100" s="746">
        <v>0</v>
      </c>
      <c r="G100" s="746">
        <v>0</v>
      </c>
      <c r="H100" s="747">
        <v>0</v>
      </c>
      <c r="I100" s="748">
        <v>0</v>
      </c>
      <c r="J100" s="749">
        <v>0</v>
      </c>
      <c r="K100" s="749">
        <v>0</v>
      </c>
      <c r="L100" s="749">
        <v>0</v>
      </c>
      <c r="M100" s="750">
        <v>0</v>
      </c>
      <c r="N100" s="584"/>
      <c r="O100" s="686">
        <v>0</v>
      </c>
      <c r="P100" s="687">
        <v>0</v>
      </c>
      <c r="Q100" s="688">
        <v>0</v>
      </c>
      <c r="R100" s="706"/>
      <c r="S100" s="686">
        <v>0</v>
      </c>
      <c r="T100" s="309" t="s">
        <v>1018</v>
      </c>
    </row>
    <row r="101" spans="1:20" s="709" customFormat="1" ht="15" customHeight="1" thickBot="1">
      <c r="A101" s="707"/>
      <c r="B101" s="731" t="s">
        <v>463</v>
      </c>
      <c r="C101" s="732"/>
      <c r="D101" s="767">
        <v>1.6</v>
      </c>
      <c r="E101" s="768">
        <v>0.7</v>
      </c>
      <c r="F101" s="768">
        <v>1.2</v>
      </c>
      <c r="G101" s="768">
        <v>1.68003159071981</v>
      </c>
      <c r="H101" s="769">
        <v>2.2913881193955983</v>
      </c>
      <c r="I101" s="770">
        <v>0.9075566026736468</v>
      </c>
      <c r="J101" s="768">
        <v>0.91001363950029757</v>
      </c>
      <c r="K101" s="768">
        <v>0.91001363950029757</v>
      </c>
      <c r="L101" s="768">
        <v>0.91001363950029757</v>
      </c>
      <c r="M101" s="769">
        <v>0.91001363950029757</v>
      </c>
      <c r="N101" s="584"/>
      <c r="O101" s="736">
        <v>5.1800315907198105</v>
      </c>
      <c r="P101" s="737">
        <v>2.2913881193955983</v>
      </c>
      <c r="Q101" s="738">
        <v>7.4714197101154092</v>
      </c>
      <c r="R101" s="706"/>
      <c r="S101" s="736">
        <v>4.5476111606748368</v>
      </c>
      <c r="T101" s="341">
        <v>-0.39133239235403749</v>
      </c>
    </row>
    <row r="102" spans="1:20" s="709" customFormat="1" ht="15" customHeight="1">
      <c r="A102" s="707"/>
      <c r="B102" s="584"/>
      <c r="C102" s="584"/>
      <c r="D102" s="584"/>
      <c r="E102" s="584"/>
      <c r="F102" s="584"/>
      <c r="G102" s="584"/>
      <c r="H102" s="584"/>
      <c r="I102" s="584"/>
      <c r="J102" s="584"/>
      <c r="K102" s="584"/>
      <c r="L102" s="584"/>
      <c r="M102" s="584"/>
      <c r="N102" s="584"/>
      <c r="O102" s="584"/>
      <c r="P102" s="584"/>
      <c r="Q102" s="584"/>
    </row>
    <row r="103" spans="1:20" s="709" customFormat="1" ht="15" customHeight="1">
      <c r="A103" s="707"/>
      <c r="B103" s="584"/>
      <c r="C103" s="584"/>
      <c r="D103" s="584"/>
      <c r="E103" s="584"/>
      <c r="F103" s="584"/>
      <c r="G103" s="584"/>
      <c r="H103" s="584"/>
      <c r="I103" s="584"/>
      <c r="J103" s="584"/>
      <c r="K103" s="584"/>
      <c r="L103" s="584"/>
      <c r="M103" s="584"/>
      <c r="N103" s="584"/>
      <c r="O103" s="584"/>
      <c r="P103" s="584"/>
      <c r="Q103" s="584"/>
    </row>
    <row r="104" spans="1:20" s="709" customFormat="1" ht="15" customHeight="1">
      <c r="A104" s="707"/>
      <c r="B104" s="704" t="s">
        <v>464</v>
      </c>
      <c r="C104" s="584"/>
      <c r="D104" s="584"/>
      <c r="E104" s="584"/>
      <c r="F104" s="584"/>
      <c r="G104" s="584"/>
      <c r="H104" s="584"/>
      <c r="I104" s="584"/>
      <c r="J104" s="584"/>
      <c r="K104" s="584"/>
      <c r="L104" s="584"/>
      <c r="M104" s="584"/>
      <c r="N104" s="584"/>
      <c r="O104" s="584"/>
      <c r="P104" s="584"/>
      <c r="Q104" s="584"/>
    </row>
    <row r="105" spans="1:20" s="709" customFormat="1" ht="15" customHeight="1" thickBot="1">
      <c r="A105" s="707"/>
      <c r="B105" s="584"/>
      <c r="C105" s="584"/>
      <c r="D105" s="584"/>
      <c r="E105" s="584"/>
      <c r="F105" s="584"/>
      <c r="G105" s="584"/>
      <c r="H105" s="584"/>
      <c r="I105" s="584"/>
      <c r="J105" s="584"/>
      <c r="K105" s="584"/>
      <c r="L105" s="584"/>
      <c r="M105" s="584"/>
      <c r="N105" s="584"/>
      <c r="O105" s="584"/>
      <c r="P105" s="584"/>
      <c r="Q105" s="584"/>
    </row>
    <row r="106" spans="1:20" s="709" customFormat="1" ht="15" customHeight="1">
      <c r="A106" s="707"/>
      <c r="B106" s="1544" t="s">
        <v>444</v>
      </c>
      <c r="C106" s="1545"/>
      <c r="D106" s="711" t="s">
        <v>445</v>
      </c>
      <c r="E106" s="711"/>
      <c r="F106" s="711"/>
      <c r="G106" s="711"/>
      <c r="H106" s="712"/>
      <c r="I106" s="710" t="s">
        <v>446</v>
      </c>
      <c r="J106" s="711"/>
      <c r="K106" s="711"/>
      <c r="L106" s="711"/>
      <c r="M106" s="712"/>
      <c r="N106" s="584"/>
      <c r="O106" s="119" t="s">
        <v>211</v>
      </c>
      <c r="P106" s="120"/>
      <c r="Q106" s="121"/>
      <c r="R106" s="706"/>
      <c r="S106" s="119" t="s">
        <v>212</v>
      </c>
      <c r="T106" s="121"/>
    </row>
    <row r="107" spans="1:20" s="709" customFormat="1" ht="15" customHeight="1">
      <c r="A107" s="707"/>
      <c r="B107" s="1546"/>
      <c r="C107" s="1547"/>
      <c r="D107" s="716" t="s">
        <v>99</v>
      </c>
      <c r="E107" s="714" t="s">
        <v>100</v>
      </c>
      <c r="F107" s="714" t="s">
        <v>101</v>
      </c>
      <c r="G107" s="714" t="s">
        <v>102</v>
      </c>
      <c r="H107" s="715" t="s">
        <v>64</v>
      </c>
      <c r="I107" s="713" t="s">
        <v>213</v>
      </c>
      <c r="J107" s="714" t="s">
        <v>214</v>
      </c>
      <c r="K107" s="714" t="s">
        <v>215</v>
      </c>
      <c r="L107" s="714" t="s">
        <v>216</v>
      </c>
      <c r="M107" s="715" t="s">
        <v>465</v>
      </c>
      <c r="N107" s="584"/>
      <c r="O107" s="126" t="s">
        <v>218</v>
      </c>
      <c r="P107" s="127" t="s">
        <v>219</v>
      </c>
      <c r="Q107" s="128" t="s">
        <v>220</v>
      </c>
      <c r="R107" s="706"/>
      <c r="S107" s="126" t="s">
        <v>219</v>
      </c>
      <c r="T107" s="128" t="s">
        <v>221</v>
      </c>
    </row>
    <row r="108" spans="1:20" s="709" customFormat="1" ht="15" customHeight="1">
      <c r="A108" s="707"/>
      <c r="B108" s="1548"/>
      <c r="C108" s="1549"/>
      <c r="D108" s="716" t="s">
        <v>223</v>
      </c>
      <c r="E108" s="714" t="s">
        <v>223</v>
      </c>
      <c r="F108" s="714" t="s">
        <v>223</v>
      </c>
      <c r="G108" s="714" t="s">
        <v>223</v>
      </c>
      <c r="H108" s="715" t="s">
        <v>223</v>
      </c>
      <c r="I108" s="713" t="s">
        <v>223</v>
      </c>
      <c r="J108" s="714" t="s">
        <v>223</v>
      </c>
      <c r="K108" s="714" t="s">
        <v>223</v>
      </c>
      <c r="L108" s="714" t="s">
        <v>223</v>
      </c>
      <c r="M108" s="715" t="s">
        <v>223</v>
      </c>
      <c r="N108" s="584"/>
      <c r="O108" s="717"/>
      <c r="P108" s="718"/>
      <c r="Q108" s="719"/>
      <c r="R108" s="706"/>
      <c r="S108" s="720"/>
      <c r="T108" s="721"/>
    </row>
    <row r="109" spans="1:20" s="709" customFormat="1" ht="15" customHeight="1">
      <c r="A109" s="707"/>
      <c r="B109" s="1552" t="s">
        <v>466</v>
      </c>
      <c r="C109" s="771" t="s">
        <v>467</v>
      </c>
      <c r="D109" s="741">
        <v>3.2405396350130986</v>
      </c>
      <c r="E109" s="744">
        <v>3.9652383450805697</v>
      </c>
      <c r="F109" s="744">
        <v>6.9</v>
      </c>
      <c r="G109" s="744">
        <v>0</v>
      </c>
      <c r="H109" s="745">
        <v>3.6889449991095641E-2</v>
      </c>
      <c r="I109" s="743">
        <v>3.814981828347435E-2</v>
      </c>
      <c r="J109" s="744">
        <v>4.3712195111399996E-2</v>
      </c>
      <c r="K109" s="744">
        <v>4.3712195111399996E-2</v>
      </c>
      <c r="L109" s="744">
        <v>4.3712195111399996E-2</v>
      </c>
      <c r="M109" s="745">
        <v>4.3712195111399996E-2</v>
      </c>
      <c r="N109" s="584"/>
      <c r="O109" s="686">
        <v>14.105777980093668</v>
      </c>
      <c r="P109" s="687">
        <v>3.6889449991095641E-2</v>
      </c>
      <c r="Q109" s="688">
        <v>14.142667430084764</v>
      </c>
      <c r="R109" s="706"/>
      <c r="S109" s="686">
        <v>0.21299859872907434</v>
      </c>
      <c r="T109" s="772">
        <v>-0.98493929099428756</v>
      </c>
    </row>
    <row r="110" spans="1:20" s="709" customFormat="1" ht="15" customHeight="1">
      <c r="A110" s="707"/>
      <c r="B110" s="1553"/>
      <c r="C110" s="771" t="s">
        <v>468</v>
      </c>
      <c r="D110" s="746">
        <v>0</v>
      </c>
      <c r="E110" s="749">
        <v>0</v>
      </c>
      <c r="F110" s="749">
        <v>0</v>
      </c>
      <c r="G110" s="749">
        <v>0</v>
      </c>
      <c r="H110" s="750">
        <v>0</v>
      </c>
      <c r="I110" s="748">
        <v>0</v>
      </c>
      <c r="J110" s="749">
        <v>0</v>
      </c>
      <c r="K110" s="749">
        <v>0</v>
      </c>
      <c r="L110" s="749">
        <v>0</v>
      </c>
      <c r="M110" s="750">
        <v>0</v>
      </c>
      <c r="N110" s="584"/>
      <c r="O110" s="686">
        <v>0</v>
      </c>
      <c r="P110" s="687">
        <v>0</v>
      </c>
      <c r="Q110" s="688">
        <v>0</v>
      </c>
      <c r="R110" s="706"/>
      <c r="S110" s="686">
        <v>0</v>
      </c>
      <c r="T110" s="772" t="s">
        <v>1018</v>
      </c>
    </row>
    <row r="111" spans="1:20" s="709" customFormat="1" ht="15" customHeight="1">
      <c r="A111" s="707"/>
      <c r="B111" s="1553"/>
      <c r="C111" s="771" t="s">
        <v>469</v>
      </c>
      <c r="D111" s="746">
        <v>0</v>
      </c>
      <c r="E111" s="749">
        <v>0</v>
      </c>
      <c r="F111" s="749">
        <v>0</v>
      </c>
      <c r="G111" s="749">
        <v>0.28586455200000005</v>
      </c>
      <c r="H111" s="750">
        <v>0.37982928900000001</v>
      </c>
      <c r="I111" s="748">
        <v>0.47849888008500008</v>
      </c>
      <c r="J111" s="749">
        <v>0.52937880000000004</v>
      </c>
      <c r="K111" s="749">
        <v>0.52937880000000004</v>
      </c>
      <c r="L111" s="749">
        <v>0.52937880000000004</v>
      </c>
      <c r="M111" s="750">
        <v>0.52937880000000004</v>
      </c>
      <c r="N111" s="584"/>
      <c r="O111" s="686">
        <v>0.28586455200000005</v>
      </c>
      <c r="P111" s="687">
        <v>0.37982928900000001</v>
      </c>
      <c r="Q111" s="688">
        <v>0.66569384100000006</v>
      </c>
      <c r="R111" s="706"/>
      <c r="S111" s="686">
        <v>2.5960140800849998</v>
      </c>
      <c r="T111" s="772">
        <v>2.8997117296222661</v>
      </c>
    </row>
    <row r="112" spans="1:20" s="709" customFormat="1" ht="15" customHeight="1">
      <c r="A112" s="707"/>
      <c r="B112" s="1553"/>
      <c r="C112" s="771" t="s">
        <v>470</v>
      </c>
      <c r="D112" s="746">
        <v>0</v>
      </c>
      <c r="E112" s="749">
        <v>0</v>
      </c>
      <c r="F112" s="749">
        <v>0</v>
      </c>
      <c r="G112" s="749">
        <v>1.0316221195887041</v>
      </c>
      <c r="H112" s="750">
        <v>1.665949696825</v>
      </c>
      <c r="I112" s="748">
        <v>1.4266735512500002</v>
      </c>
      <c r="J112" s="749">
        <v>1.3492999999999999</v>
      </c>
      <c r="K112" s="749">
        <v>1.50573125</v>
      </c>
      <c r="L112" s="749">
        <v>1.975025</v>
      </c>
      <c r="M112" s="750">
        <v>2.1314562500000003</v>
      </c>
      <c r="N112" s="584"/>
      <c r="O112" s="686">
        <v>1.0316221195887041</v>
      </c>
      <c r="P112" s="687">
        <v>1.665949696825</v>
      </c>
      <c r="Q112" s="688">
        <v>2.6975718164137041</v>
      </c>
      <c r="R112" s="706"/>
      <c r="S112" s="686">
        <v>8.3881860512499991</v>
      </c>
      <c r="T112" s="772">
        <v>2.1095320614676725</v>
      </c>
    </row>
    <row r="113" spans="1:20" s="709" customFormat="1" ht="15" customHeight="1">
      <c r="A113" s="707"/>
      <c r="B113" s="1553"/>
      <c r="C113" s="771" t="s">
        <v>471</v>
      </c>
      <c r="D113" s="746">
        <v>0</v>
      </c>
      <c r="E113" s="749">
        <v>0</v>
      </c>
      <c r="F113" s="749">
        <v>0</v>
      </c>
      <c r="G113" s="749">
        <v>2.2172810000000007</v>
      </c>
      <c r="H113" s="750">
        <v>1.0312672450726601</v>
      </c>
      <c r="I113" s="748">
        <v>0.56790219047734025</v>
      </c>
      <c r="J113" s="749">
        <v>0.22984641580000009</v>
      </c>
      <c r="K113" s="749">
        <v>0.22984641580000009</v>
      </c>
      <c r="L113" s="749">
        <v>0.22984641580000009</v>
      </c>
      <c r="M113" s="750">
        <v>0.22984641580000009</v>
      </c>
      <c r="N113" s="584"/>
      <c r="O113" s="686">
        <v>2.2172810000000007</v>
      </c>
      <c r="P113" s="687">
        <v>1.0312672450726601</v>
      </c>
      <c r="Q113" s="688">
        <v>3.2485482450726608</v>
      </c>
      <c r="R113" s="706"/>
      <c r="S113" s="686">
        <v>1.4872878536773406</v>
      </c>
      <c r="T113" s="772">
        <v>-0.5421684575769401</v>
      </c>
    </row>
    <row r="114" spans="1:20" s="709" customFormat="1" ht="15" customHeight="1">
      <c r="A114" s="707"/>
      <c r="B114" s="1554"/>
      <c r="C114" s="773" t="s">
        <v>472</v>
      </c>
      <c r="D114" s="774">
        <v>3.2405396350130986</v>
      </c>
      <c r="E114" s="774">
        <v>3.9652383450805697</v>
      </c>
      <c r="F114" s="774">
        <v>6.9</v>
      </c>
      <c r="G114" s="774">
        <v>3.5347676715887051</v>
      </c>
      <c r="H114" s="775">
        <v>3.1139356808887557</v>
      </c>
      <c r="I114" s="776">
        <v>2.5112244400958148</v>
      </c>
      <c r="J114" s="774">
        <v>2.1522374109114</v>
      </c>
      <c r="K114" s="774">
        <v>2.3086686609114002</v>
      </c>
      <c r="L114" s="774">
        <v>2.7779624109114001</v>
      </c>
      <c r="M114" s="775">
        <v>2.9343936609114003</v>
      </c>
      <c r="N114" s="584"/>
      <c r="O114" s="686">
        <v>17.640545651682373</v>
      </c>
      <c r="P114" s="687">
        <v>3.1139356808887557</v>
      </c>
      <c r="Q114" s="688">
        <v>20.754481332571128</v>
      </c>
      <c r="R114" s="706"/>
      <c r="S114" s="686">
        <v>12.684486583741416</v>
      </c>
      <c r="T114" s="772">
        <v>-0.38883143449916208</v>
      </c>
    </row>
    <row r="115" spans="1:20" s="709" customFormat="1" ht="15" customHeight="1">
      <c r="A115" s="707"/>
      <c r="B115" s="1552" t="s">
        <v>245</v>
      </c>
      <c r="C115" s="771" t="s">
        <v>467</v>
      </c>
      <c r="D115" s="746">
        <v>0</v>
      </c>
      <c r="E115" s="749">
        <v>0</v>
      </c>
      <c r="F115" s="749">
        <v>0</v>
      </c>
      <c r="G115" s="749">
        <v>0.34153594908291507</v>
      </c>
      <c r="H115" s="750">
        <v>1.2858436185893434</v>
      </c>
      <c r="I115" s="748">
        <v>1.2112307903035195</v>
      </c>
      <c r="J115" s="749">
        <v>1.2145099672149999</v>
      </c>
      <c r="K115" s="749">
        <v>1.2145099672149999</v>
      </c>
      <c r="L115" s="749">
        <v>1.2145099672149999</v>
      </c>
      <c r="M115" s="750">
        <v>1.2145099672149999</v>
      </c>
      <c r="N115" s="584"/>
      <c r="O115" s="686">
        <v>0.34153594908291507</v>
      </c>
      <c r="P115" s="687">
        <v>1.2858436185893434</v>
      </c>
      <c r="Q115" s="688">
        <v>1.6273795676722584</v>
      </c>
      <c r="R115" s="706"/>
      <c r="S115" s="686">
        <v>6.0692706591635197</v>
      </c>
      <c r="T115" s="772">
        <v>2.7294745366901543</v>
      </c>
    </row>
    <row r="116" spans="1:20" s="709" customFormat="1" ht="15" customHeight="1">
      <c r="A116" s="707"/>
      <c r="B116" s="1553"/>
      <c r="C116" s="771" t="s">
        <v>468</v>
      </c>
      <c r="D116" s="746">
        <v>4.5367554890183373</v>
      </c>
      <c r="E116" s="749">
        <v>3.4</v>
      </c>
      <c r="F116" s="749">
        <v>4.9000000000000004</v>
      </c>
      <c r="G116" s="749">
        <v>4.914409596431363</v>
      </c>
      <c r="H116" s="750">
        <v>2.4678144616429054</v>
      </c>
      <c r="I116" s="748">
        <v>4.0892158250403616</v>
      </c>
      <c r="J116" s="749">
        <v>4.4021869125947592</v>
      </c>
      <c r="K116" s="749">
        <v>4.4021869125947592</v>
      </c>
      <c r="L116" s="749">
        <v>4.4021869125947592</v>
      </c>
      <c r="M116" s="750">
        <v>4.4021869125947592</v>
      </c>
      <c r="N116" s="584"/>
      <c r="O116" s="686">
        <v>17.751165085449699</v>
      </c>
      <c r="P116" s="687">
        <v>2.4678144616429054</v>
      </c>
      <c r="Q116" s="688">
        <v>20.218979547092605</v>
      </c>
      <c r="R116" s="706"/>
      <c r="S116" s="686">
        <v>21.6979634754194</v>
      </c>
      <c r="T116" s="772">
        <v>7.3148297364961007E-2</v>
      </c>
    </row>
    <row r="117" spans="1:20" s="709" customFormat="1" ht="15" customHeight="1">
      <c r="A117" s="707"/>
      <c r="B117" s="1553"/>
      <c r="C117" s="771" t="s">
        <v>469</v>
      </c>
      <c r="D117" s="746">
        <v>0</v>
      </c>
      <c r="E117" s="749">
        <v>0</v>
      </c>
      <c r="F117" s="749">
        <v>0</v>
      </c>
      <c r="G117" s="749">
        <v>0</v>
      </c>
      <c r="H117" s="750">
        <v>0</v>
      </c>
      <c r="I117" s="748">
        <v>0</v>
      </c>
      <c r="J117" s="749">
        <v>0</v>
      </c>
      <c r="K117" s="749">
        <v>0</v>
      </c>
      <c r="L117" s="749">
        <v>0</v>
      </c>
      <c r="M117" s="750">
        <v>0</v>
      </c>
      <c r="N117" s="584"/>
      <c r="O117" s="686">
        <v>0</v>
      </c>
      <c r="P117" s="687">
        <v>0</v>
      </c>
      <c r="Q117" s="688">
        <v>0</v>
      </c>
      <c r="R117" s="706"/>
      <c r="S117" s="686">
        <v>0</v>
      </c>
      <c r="T117" s="772" t="s">
        <v>1018</v>
      </c>
    </row>
    <row r="118" spans="1:20" s="709" customFormat="1" ht="15" customHeight="1">
      <c r="A118" s="707"/>
      <c r="B118" s="1553"/>
      <c r="C118" s="771" t="s">
        <v>470</v>
      </c>
      <c r="D118" s="746">
        <v>0</v>
      </c>
      <c r="E118" s="749">
        <v>0</v>
      </c>
      <c r="F118" s="749">
        <v>0</v>
      </c>
      <c r="G118" s="749">
        <v>0</v>
      </c>
      <c r="H118" s="750">
        <v>0</v>
      </c>
      <c r="I118" s="748">
        <v>0</v>
      </c>
      <c r="J118" s="749">
        <v>0</v>
      </c>
      <c r="K118" s="749">
        <v>0</v>
      </c>
      <c r="L118" s="749">
        <v>0</v>
      </c>
      <c r="M118" s="750">
        <v>0</v>
      </c>
      <c r="N118" s="584"/>
      <c r="O118" s="686">
        <v>0</v>
      </c>
      <c r="P118" s="687">
        <v>0</v>
      </c>
      <c r="Q118" s="688">
        <v>0</v>
      </c>
      <c r="R118" s="706"/>
      <c r="S118" s="686">
        <v>0</v>
      </c>
      <c r="T118" s="772" t="s">
        <v>1018</v>
      </c>
    </row>
    <row r="119" spans="1:20" s="709" customFormat="1" ht="15" customHeight="1">
      <c r="A119" s="707"/>
      <c r="B119" s="1553"/>
      <c r="C119" s="771" t="s">
        <v>471</v>
      </c>
      <c r="D119" s="746">
        <v>0</v>
      </c>
      <c r="E119" s="749">
        <v>0</v>
      </c>
      <c r="F119" s="749">
        <v>0</v>
      </c>
      <c r="G119" s="749">
        <v>2.4679560449E-2</v>
      </c>
      <c r="H119" s="750">
        <v>0.17839799657115799</v>
      </c>
      <c r="I119" s="748">
        <v>0.15163510833484201</v>
      </c>
      <c r="J119" s="749">
        <v>0.15204563153999998</v>
      </c>
      <c r="K119" s="749">
        <v>0.15204563153999998</v>
      </c>
      <c r="L119" s="749">
        <v>0.15159527459749997</v>
      </c>
      <c r="M119" s="750">
        <v>0.15024420376999997</v>
      </c>
      <c r="N119" s="584"/>
      <c r="O119" s="686">
        <v>2.4679560449E-2</v>
      </c>
      <c r="P119" s="687">
        <v>0.17839799657115799</v>
      </c>
      <c r="Q119" s="688">
        <v>0.20307755702015798</v>
      </c>
      <c r="R119" s="706"/>
      <c r="S119" s="686">
        <v>0.75756584978234187</v>
      </c>
      <c r="T119" s="772">
        <v>2.7304262514205058</v>
      </c>
    </row>
    <row r="120" spans="1:20" s="709" customFormat="1" ht="15" customHeight="1">
      <c r="A120" s="707"/>
      <c r="B120" s="1554"/>
      <c r="C120" s="773" t="s">
        <v>472</v>
      </c>
      <c r="D120" s="774">
        <v>4.5367554890183373</v>
      </c>
      <c r="E120" s="774">
        <v>3.4</v>
      </c>
      <c r="F120" s="774">
        <v>4.9000000000000004</v>
      </c>
      <c r="G120" s="774">
        <v>5.2806251059632778</v>
      </c>
      <c r="H120" s="775">
        <v>3.932056076803407</v>
      </c>
      <c r="I120" s="776">
        <v>5.4520817236787238</v>
      </c>
      <c r="J120" s="774">
        <v>5.7687425113497595</v>
      </c>
      <c r="K120" s="774">
        <v>5.7687425113497595</v>
      </c>
      <c r="L120" s="774">
        <v>5.7682921544072592</v>
      </c>
      <c r="M120" s="775">
        <v>5.7669410835797592</v>
      </c>
      <c r="N120" s="584"/>
      <c r="O120" s="686">
        <v>18.117380594981615</v>
      </c>
      <c r="P120" s="687">
        <v>3.932056076803407</v>
      </c>
      <c r="Q120" s="688">
        <v>22.049436671785021</v>
      </c>
      <c r="R120" s="706"/>
      <c r="S120" s="686">
        <v>28.524799984365263</v>
      </c>
      <c r="T120" s="772">
        <v>0.29367477314584955</v>
      </c>
    </row>
    <row r="121" spans="1:20" s="709" customFormat="1" ht="15" customHeight="1">
      <c r="A121" s="707"/>
      <c r="B121" s="1556" t="s">
        <v>473</v>
      </c>
      <c r="C121" s="771" t="s">
        <v>467</v>
      </c>
      <c r="D121" s="746">
        <v>0</v>
      </c>
      <c r="E121" s="749">
        <v>0</v>
      </c>
      <c r="F121" s="749">
        <v>0</v>
      </c>
      <c r="G121" s="749">
        <v>0.65633788100000012</v>
      </c>
      <c r="H121" s="750">
        <v>0.50105967206000002</v>
      </c>
      <c r="I121" s="748">
        <v>0.81202549088999998</v>
      </c>
      <c r="J121" s="749">
        <v>1.9473849500000004</v>
      </c>
      <c r="K121" s="749">
        <v>2.6024371418025005</v>
      </c>
      <c r="L121" s="749">
        <v>3.9976015243550007</v>
      </c>
      <c r="M121" s="750">
        <v>2.0356919109050002</v>
      </c>
      <c r="N121" s="584"/>
      <c r="O121" s="686">
        <v>0.65633788100000012</v>
      </c>
      <c r="P121" s="687">
        <v>0.50105967206000002</v>
      </c>
      <c r="Q121" s="688">
        <v>1.15739755306</v>
      </c>
      <c r="R121" s="706"/>
      <c r="S121" s="686">
        <v>11.395141017952504</v>
      </c>
      <c r="T121" s="772">
        <v>8.8454856655133902</v>
      </c>
    </row>
    <row r="122" spans="1:20" s="709" customFormat="1" ht="15" customHeight="1">
      <c r="A122" s="707"/>
      <c r="B122" s="1552"/>
      <c r="C122" s="771" t="s">
        <v>468</v>
      </c>
      <c r="D122" s="746">
        <v>0</v>
      </c>
      <c r="E122" s="749">
        <v>0.8</v>
      </c>
      <c r="F122" s="749">
        <v>1</v>
      </c>
      <c r="G122" s="749">
        <v>1.2499979897750002</v>
      </c>
      <c r="H122" s="750">
        <v>0.86587280262499999</v>
      </c>
      <c r="I122" s="748">
        <v>1.1443455300000001</v>
      </c>
      <c r="J122" s="749">
        <v>2.9150493500000008</v>
      </c>
      <c r="K122" s="749">
        <v>3.9838187155725007</v>
      </c>
      <c r="L122" s="749">
        <v>6.2614251528950007</v>
      </c>
      <c r="M122" s="750">
        <v>3.0642715388450004</v>
      </c>
      <c r="N122" s="584"/>
      <c r="O122" s="686">
        <v>3.049997989775</v>
      </c>
      <c r="P122" s="687">
        <v>0.86587280262499999</v>
      </c>
      <c r="Q122" s="688">
        <v>3.9158707923999998</v>
      </c>
      <c r="R122" s="706"/>
      <c r="S122" s="686">
        <v>17.368910287312502</v>
      </c>
      <c r="T122" s="772">
        <v>3.4355166981051646</v>
      </c>
    </row>
    <row r="123" spans="1:20" s="709" customFormat="1" ht="15" customHeight="1">
      <c r="A123" s="707"/>
      <c r="B123" s="1552"/>
      <c r="C123" s="771" t="s">
        <v>469</v>
      </c>
      <c r="D123" s="746">
        <v>0</v>
      </c>
      <c r="E123" s="749">
        <v>0</v>
      </c>
      <c r="F123" s="749">
        <v>0</v>
      </c>
      <c r="G123" s="749">
        <v>0</v>
      </c>
      <c r="H123" s="750">
        <v>0</v>
      </c>
      <c r="I123" s="748">
        <v>0</v>
      </c>
      <c r="J123" s="749">
        <v>0</v>
      </c>
      <c r="K123" s="749">
        <v>0</v>
      </c>
      <c r="L123" s="749">
        <v>0</v>
      </c>
      <c r="M123" s="750">
        <v>0</v>
      </c>
      <c r="N123" s="584"/>
      <c r="O123" s="686">
        <v>0</v>
      </c>
      <c r="P123" s="687">
        <v>0</v>
      </c>
      <c r="Q123" s="688">
        <v>0</v>
      </c>
      <c r="R123" s="706"/>
      <c r="S123" s="686">
        <v>0</v>
      </c>
      <c r="T123" s="772" t="s">
        <v>1018</v>
      </c>
    </row>
    <row r="124" spans="1:20" s="709" customFormat="1" ht="15" customHeight="1">
      <c r="A124" s="707"/>
      <c r="B124" s="1552"/>
      <c r="C124" s="771" t="s">
        <v>471</v>
      </c>
      <c r="D124" s="746">
        <v>0</v>
      </c>
      <c r="E124" s="749">
        <v>0</v>
      </c>
      <c r="F124" s="749">
        <v>0</v>
      </c>
      <c r="G124" s="749">
        <v>0</v>
      </c>
      <c r="H124" s="750">
        <v>1.7913703357467503E-2</v>
      </c>
      <c r="I124" s="748">
        <v>1.4261464323782504E-2</v>
      </c>
      <c r="J124" s="749">
        <v>1.4300074525000001E-2</v>
      </c>
      <c r="K124" s="749">
        <v>1.4300074525000001E-2</v>
      </c>
      <c r="L124" s="749">
        <v>1.4300074525000001E-2</v>
      </c>
      <c r="M124" s="750">
        <v>1.4300074525000001E-2</v>
      </c>
      <c r="N124" s="584"/>
      <c r="O124" s="686">
        <v>0</v>
      </c>
      <c r="P124" s="687">
        <v>1.7913703357467503E-2</v>
      </c>
      <c r="Q124" s="688">
        <v>1.7913703357467503E-2</v>
      </c>
      <c r="R124" s="706"/>
      <c r="S124" s="686">
        <v>7.1461762423782507E-2</v>
      </c>
      <c r="T124" s="772">
        <v>2.9892232777201242</v>
      </c>
    </row>
    <row r="125" spans="1:20" s="709" customFormat="1" ht="15" customHeight="1">
      <c r="A125" s="707"/>
      <c r="B125" s="1556" t="s">
        <v>474</v>
      </c>
      <c r="C125" s="771" t="s">
        <v>475</v>
      </c>
      <c r="D125" s="746">
        <v>0</v>
      </c>
      <c r="E125" s="749">
        <v>0</v>
      </c>
      <c r="F125" s="749">
        <v>0</v>
      </c>
      <c r="G125" s="749">
        <v>0</v>
      </c>
      <c r="H125" s="750">
        <v>0</v>
      </c>
      <c r="I125" s="748">
        <v>0</v>
      </c>
      <c r="J125" s="749">
        <v>0</v>
      </c>
      <c r="K125" s="749">
        <v>0</v>
      </c>
      <c r="L125" s="749">
        <v>0</v>
      </c>
      <c r="M125" s="750">
        <v>0</v>
      </c>
      <c r="N125" s="584"/>
      <c r="O125" s="686">
        <v>0</v>
      </c>
      <c r="P125" s="687">
        <v>0</v>
      </c>
      <c r="Q125" s="688">
        <v>0</v>
      </c>
      <c r="R125" s="706"/>
      <c r="S125" s="686">
        <v>0</v>
      </c>
      <c r="T125" s="772" t="s">
        <v>1018</v>
      </c>
    </row>
    <row r="126" spans="1:20" s="709" customFormat="1" ht="15" customHeight="1">
      <c r="A126" s="707"/>
      <c r="B126" s="1552"/>
      <c r="C126" s="773" t="s">
        <v>476</v>
      </c>
      <c r="D126" s="746">
        <v>0</v>
      </c>
      <c r="E126" s="749">
        <v>0</v>
      </c>
      <c r="F126" s="749">
        <v>0</v>
      </c>
      <c r="G126" s="749">
        <v>0</v>
      </c>
      <c r="H126" s="750">
        <v>0</v>
      </c>
      <c r="I126" s="748">
        <v>0</v>
      </c>
      <c r="J126" s="749">
        <v>0</v>
      </c>
      <c r="K126" s="749">
        <v>0</v>
      </c>
      <c r="L126" s="749">
        <v>0</v>
      </c>
      <c r="M126" s="750">
        <v>0</v>
      </c>
      <c r="N126" s="584"/>
      <c r="O126" s="686">
        <v>0</v>
      </c>
      <c r="P126" s="687">
        <v>0</v>
      </c>
      <c r="Q126" s="688">
        <v>0</v>
      </c>
      <c r="R126" s="706"/>
      <c r="S126" s="686">
        <v>0</v>
      </c>
      <c r="T126" s="772" t="s">
        <v>1018</v>
      </c>
    </row>
    <row r="127" spans="1:20" s="709" customFormat="1" ht="15" customHeight="1">
      <c r="A127" s="707"/>
      <c r="B127" s="1552"/>
      <c r="C127" s="771" t="s">
        <v>469</v>
      </c>
      <c r="D127" s="746">
        <v>0</v>
      </c>
      <c r="E127" s="746">
        <v>0</v>
      </c>
      <c r="F127" s="746">
        <v>0</v>
      </c>
      <c r="G127" s="746">
        <v>0</v>
      </c>
      <c r="H127" s="747">
        <v>0</v>
      </c>
      <c r="I127" s="748">
        <v>0</v>
      </c>
      <c r="J127" s="746">
        <v>0</v>
      </c>
      <c r="K127" s="746">
        <v>0</v>
      </c>
      <c r="L127" s="746">
        <v>0</v>
      </c>
      <c r="M127" s="747">
        <v>0</v>
      </c>
      <c r="N127" s="584"/>
      <c r="O127" s="686">
        <v>0</v>
      </c>
      <c r="P127" s="687">
        <v>0</v>
      </c>
      <c r="Q127" s="688">
        <v>0</v>
      </c>
      <c r="R127" s="706"/>
      <c r="S127" s="686">
        <v>0</v>
      </c>
      <c r="T127" s="772" t="s">
        <v>1018</v>
      </c>
    </row>
    <row r="128" spans="1:20" s="709" customFormat="1" ht="15" customHeight="1">
      <c r="A128" s="707"/>
      <c r="B128" s="1552"/>
      <c r="C128" s="771" t="s">
        <v>477</v>
      </c>
      <c r="D128" s="746">
        <v>0</v>
      </c>
      <c r="E128" s="746">
        <v>0</v>
      </c>
      <c r="F128" s="746">
        <v>0</v>
      </c>
      <c r="G128" s="746">
        <v>0</v>
      </c>
      <c r="H128" s="747">
        <v>0</v>
      </c>
      <c r="I128" s="748">
        <v>0</v>
      </c>
      <c r="J128" s="746">
        <v>0</v>
      </c>
      <c r="K128" s="746">
        <v>0</v>
      </c>
      <c r="L128" s="746">
        <v>0</v>
      </c>
      <c r="M128" s="747">
        <v>0</v>
      </c>
      <c r="N128" s="584"/>
      <c r="O128" s="686">
        <v>0</v>
      </c>
      <c r="P128" s="687">
        <v>0</v>
      </c>
      <c r="Q128" s="688">
        <v>0</v>
      </c>
      <c r="R128" s="706"/>
      <c r="S128" s="686">
        <v>0</v>
      </c>
      <c r="T128" s="772" t="s">
        <v>1018</v>
      </c>
    </row>
    <row r="129" spans="1:20" s="709" customFormat="1" ht="15" customHeight="1">
      <c r="A129" s="707"/>
      <c r="B129" s="777" t="s">
        <v>478</v>
      </c>
      <c r="C129" s="773" t="s">
        <v>472</v>
      </c>
      <c r="D129" s="774">
        <v>0</v>
      </c>
      <c r="E129" s="774">
        <v>0.8</v>
      </c>
      <c r="F129" s="774">
        <v>1</v>
      </c>
      <c r="G129" s="774">
        <v>1.9063358707750004</v>
      </c>
      <c r="H129" s="775">
        <v>1.3848461780424675</v>
      </c>
      <c r="I129" s="776">
        <v>1.9706324852137826</v>
      </c>
      <c r="J129" s="774">
        <v>4.8767343745250011</v>
      </c>
      <c r="K129" s="774">
        <v>6.6005559319000007</v>
      </c>
      <c r="L129" s="774">
        <v>10.273326751775002</v>
      </c>
      <c r="M129" s="775">
        <v>5.1142635242750005</v>
      </c>
      <c r="N129" s="584"/>
      <c r="O129" s="686">
        <v>3.7063358707750007</v>
      </c>
      <c r="P129" s="687">
        <v>1.3848461780424675</v>
      </c>
      <c r="Q129" s="688">
        <v>5.0911820488174682</v>
      </c>
      <c r="R129" s="706"/>
      <c r="S129" s="686">
        <v>28.835513067688787</v>
      </c>
      <c r="T129" s="772">
        <v>4.6638149630470247</v>
      </c>
    </row>
    <row r="130" spans="1:20" s="709" customFormat="1" ht="15" customHeight="1">
      <c r="A130" s="707"/>
      <c r="B130" s="1556" t="s">
        <v>479</v>
      </c>
      <c r="C130" s="771" t="s">
        <v>467</v>
      </c>
      <c r="D130" s="746">
        <v>0</v>
      </c>
      <c r="E130" s="749">
        <v>0</v>
      </c>
      <c r="F130" s="749">
        <v>0</v>
      </c>
      <c r="G130" s="749">
        <v>0</v>
      </c>
      <c r="H130" s="750">
        <v>0</v>
      </c>
      <c r="I130" s="748">
        <v>0</v>
      </c>
      <c r="J130" s="749">
        <v>0</v>
      </c>
      <c r="K130" s="749">
        <v>0</v>
      </c>
      <c r="L130" s="749">
        <v>0</v>
      </c>
      <c r="M130" s="750">
        <v>0</v>
      </c>
      <c r="N130" s="584"/>
      <c r="O130" s="686">
        <v>0</v>
      </c>
      <c r="P130" s="687">
        <v>0</v>
      </c>
      <c r="Q130" s="688">
        <v>0</v>
      </c>
      <c r="R130" s="706"/>
      <c r="S130" s="686">
        <v>0</v>
      </c>
      <c r="T130" s="772" t="s">
        <v>1018</v>
      </c>
    </row>
    <row r="131" spans="1:20" s="709" customFormat="1" ht="15" customHeight="1">
      <c r="A131" s="707"/>
      <c r="B131" s="1552"/>
      <c r="C131" s="771" t="s">
        <v>468</v>
      </c>
      <c r="D131" s="746">
        <v>0</v>
      </c>
      <c r="E131" s="749">
        <v>0</v>
      </c>
      <c r="F131" s="749">
        <v>0</v>
      </c>
      <c r="G131" s="749">
        <v>0</v>
      </c>
      <c r="H131" s="750">
        <v>0</v>
      </c>
      <c r="I131" s="748">
        <v>0</v>
      </c>
      <c r="J131" s="749">
        <v>0</v>
      </c>
      <c r="K131" s="749">
        <v>0</v>
      </c>
      <c r="L131" s="749">
        <v>0</v>
      </c>
      <c r="M131" s="750">
        <v>0</v>
      </c>
      <c r="N131" s="584"/>
      <c r="O131" s="686">
        <v>0</v>
      </c>
      <c r="P131" s="687">
        <v>0</v>
      </c>
      <c r="Q131" s="688">
        <v>0</v>
      </c>
      <c r="R131" s="706"/>
      <c r="S131" s="686">
        <v>0</v>
      </c>
      <c r="T131" s="772" t="s">
        <v>1018</v>
      </c>
    </row>
    <row r="132" spans="1:20" s="709" customFormat="1" ht="15" customHeight="1">
      <c r="A132" s="707"/>
      <c r="B132" s="1552"/>
      <c r="C132" s="771" t="s">
        <v>469</v>
      </c>
      <c r="D132" s="746">
        <v>0</v>
      </c>
      <c r="E132" s="749">
        <v>0</v>
      </c>
      <c r="F132" s="749">
        <v>0</v>
      </c>
      <c r="G132" s="749">
        <v>0</v>
      </c>
      <c r="H132" s="750">
        <v>0</v>
      </c>
      <c r="I132" s="748">
        <v>0</v>
      </c>
      <c r="J132" s="749">
        <v>0</v>
      </c>
      <c r="K132" s="749">
        <v>0</v>
      </c>
      <c r="L132" s="749">
        <v>0</v>
      </c>
      <c r="M132" s="750">
        <v>0</v>
      </c>
      <c r="N132" s="584"/>
      <c r="O132" s="686">
        <v>0</v>
      </c>
      <c r="P132" s="687">
        <v>0</v>
      </c>
      <c r="Q132" s="688">
        <v>0</v>
      </c>
      <c r="R132" s="706"/>
      <c r="S132" s="686">
        <v>0</v>
      </c>
      <c r="T132" s="772" t="s">
        <v>1018</v>
      </c>
    </row>
    <row r="133" spans="1:20" s="709" customFormat="1" ht="15" customHeight="1">
      <c r="A133" s="707"/>
      <c r="B133" s="1552"/>
      <c r="C133" s="771" t="s">
        <v>471</v>
      </c>
      <c r="D133" s="746">
        <v>0</v>
      </c>
      <c r="E133" s="749">
        <v>0</v>
      </c>
      <c r="F133" s="749">
        <v>0</v>
      </c>
      <c r="G133" s="749">
        <v>0</v>
      </c>
      <c r="H133" s="750">
        <v>0</v>
      </c>
      <c r="I133" s="748">
        <v>0</v>
      </c>
      <c r="J133" s="749">
        <v>0</v>
      </c>
      <c r="K133" s="749">
        <v>0</v>
      </c>
      <c r="L133" s="749">
        <v>0</v>
      </c>
      <c r="M133" s="750">
        <v>0</v>
      </c>
      <c r="N133" s="584"/>
      <c r="O133" s="686">
        <v>0</v>
      </c>
      <c r="P133" s="687">
        <v>0</v>
      </c>
      <c r="Q133" s="688">
        <v>0</v>
      </c>
      <c r="R133" s="706"/>
      <c r="S133" s="686">
        <v>0</v>
      </c>
      <c r="T133" s="772" t="s">
        <v>1018</v>
      </c>
    </row>
    <row r="134" spans="1:20" s="709" customFormat="1" ht="15" customHeight="1">
      <c r="A134" s="707"/>
      <c r="B134" s="1556" t="s">
        <v>480</v>
      </c>
      <c r="C134" s="771" t="s">
        <v>475</v>
      </c>
      <c r="D134" s="746">
        <v>0</v>
      </c>
      <c r="E134" s="749">
        <v>0</v>
      </c>
      <c r="F134" s="749">
        <v>0</v>
      </c>
      <c r="G134" s="749">
        <v>9.187497E-2</v>
      </c>
      <c r="H134" s="750">
        <v>0.10860863724439025</v>
      </c>
      <c r="I134" s="748">
        <v>9.6963546917195137E-2</v>
      </c>
      <c r="J134" s="749">
        <v>0.14158766249999999</v>
      </c>
      <c r="K134" s="749">
        <v>0.52047477187500002</v>
      </c>
      <c r="L134" s="749">
        <v>2.3153131812500001</v>
      </c>
      <c r="M134" s="750">
        <v>4.3984102875000008</v>
      </c>
      <c r="N134" s="584"/>
      <c r="O134" s="686">
        <v>9.187497E-2</v>
      </c>
      <c r="P134" s="687">
        <v>0.10860863724439025</v>
      </c>
      <c r="Q134" s="688">
        <v>0.20048360724439024</v>
      </c>
      <c r="R134" s="706"/>
      <c r="S134" s="686">
        <v>7.4727494500421958</v>
      </c>
      <c r="T134" s="772">
        <v>36.273618291060018</v>
      </c>
    </row>
    <row r="135" spans="1:20" s="709" customFormat="1" ht="15" customHeight="1">
      <c r="A135" s="707"/>
      <c r="B135" s="1552"/>
      <c r="C135" s="773" t="s">
        <v>476</v>
      </c>
      <c r="D135" s="746">
        <v>0</v>
      </c>
      <c r="E135" s="749">
        <v>0</v>
      </c>
      <c r="F135" s="749">
        <v>0</v>
      </c>
      <c r="G135" s="749">
        <v>6.1249980000000009E-2</v>
      </c>
      <c r="H135" s="750">
        <v>7.2405758162926839E-2</v>
      </c>
      <c r="I135" s="748">
        <v>8.3109942736463424E-2</v>
      </c>
      <c r="J135" s="749">
        <v>0.16826208749999999</v>
      </c>
      <c r="K135" s="749">
        <v>0.67050779062499999</v>
      </c>
      <c r="L135" s="749">
        <v>3.0497121937499996</v>
      </c>
      <c r="M135" s="750">
        <v>5.8110269625000006</v>
      </c>
      <c r="N135" s="584"/>
      <c r="O135" s="686">
        <v>6.1249980000000009E-2</v>
      </c>
      <c r="P135" s="687">
        <v>7.2405758162926839E-2</v>
      </c>
      <c r="Q135" s="688">
        <v>0.13365573816292686</v>
      </c>
      <c r="R135" s="706"/>
      <c r="S135" s="686">
        <v>9.7826189771114631</v>
      </c>
      <c r="T135" s="772">
        <v>72.192659825696467</v>
      </c>
    </row>
    <row r="136" spans="1:20" s="709" customFormat="1" ht="15" customHeight="1">
      <c r="A136" s="707"/>
      <c r="B136" s="1552"/>
      <c r="C136" s="771" t="s">
        <v>469</v>
      </c>
      <c r="D136" s="746">
        <v>0</v>
      </c>
      <c r="E136" s="749">
        <v>0</v>
      </c>
      <c r="F136" s="749">
        <v>0</v>
      </c>
      <c r="G136" s="749">
        <v>0</v>
      </c>
      <c r="H136" s="750">
        <v>0</v>
      </c>
      <c r="I136" s="748">
        <v>0</v>
      </c>
      <c r="J136" s="749">
        <v>0</v>
      </c>
      <c r="K136" s="749">
        <v>0</v>
      </c>
      <c r="L136" s="749">
        <v>0</v>
      </c>
      <c r="M136" s="750">
        <v>0</v>
      </c>
      <c r="N136" s="584"/>
      <c r="O136" s="686">
        <v>0</v>
      </c>
      <c r="P136" s="687">
        <v>0</v>
      </c>
      <c r="Q136" s="688">
        <v>0</v>
      </c>
      <c r="R136" s="706"/>
      <c r="S136" s="686">
        <v>0</v>
      </c>
      <c r="T136" s="772" t="s">
        <v>1018</v>
      </c>
    </row>
    <row r="137" spans="1:20" s="709" customFormat="1" ht="15" customHeight="1">
      <c r="A137" s="707"/>
      <c r="B137" s="1552"/>
      <c r="C137" s="771" t="s">
        <v>477</v>
      </c>
      <c r="D137" s="746">
        <v>0.36504678988422556</v>
      </c>
      <c r="E137" s="749">
        <v>1.1825463420733153</v>
      </c>
      <c r="F137" s="749">
        <v>0.20527510736748361</v>
      </c>
      <c r="G137" s="749">
        <v>0.43969517077499998</v>
      </c>
      <c r="H137" s="750">
        <v>0.55496080609499998</v>
      </c>
      <c r="I137" s="748">
        <v>0.29331201198000001</v>
      </c>
      <c r="J137" s="749">
        <v>0.21287010000000001</v>
      </c>
      <c r="K137" s="749">
        <v>0.21287010000000001</v>
      </c>
      <c r="L137" s="749">
        <v>0.21287010000000001</v>
      </c>
      <c r="M137" s="750">
        <v>0.21287010000000001</v>
      </c>
      <c r="N137" s="584"/>
      <c r="O137" s="686">
        <v>2.1925634101000244</v>
      </c>
      <c r="P137" s="687">
        <v>0.55496080609499998</v>
      </c>
      <c r="Q137" s="688">
        <v>2.7475242161950244</v>
      </c>
      <c r="R137" s="706"/>
      <c r="S137" s="686">
        <v>1.1447924119799999</v>
      </c>
      <c r="T137" s="772">
        <v>-0.58333673449277423</v>
      </c>
    </row>
    <row r="138" spans="1:20" s="709" customFormat="1" ht="15" customHeight="1" thickBot="1">
      <c r="A138" s="707"/>
      <c r="B138" s="778" t="s">
        <v>481</v>
      </c>
      <c r="C138" s="779" t="s">
        <v>472</v>
      </c>
      <c r="D138" s="780">
        <v>0.36504678988422556</v>
      </c>
      <c r="E138" s="780">
        <v>1.1825463420733153</v>
      </c>
      <c r="F138" s="780">
        <v>0.20527510736748361</v>
      </c>
      <c r="G138" s="780">
        <v>0.59282012077500001</v>
      </c>
      <c r="H138" s="781">
        <v>0.7359752015023171</v>
      </c>
      <c r="I138" s="596">
        <v>0.47338550163365856</v>
      </c>
      <c r="J138" s="780">
        <v>0.52271984999999999</v>
      </c>
      <c r="K138" s="780">
        <v>1.4038526624999998</v>
      </c>
      <c r="L138" s="780">
        <v>5.577895475</v>
      </c>
      <c r="M138" s="781">
        <v>10.422307350000001</v>
      </c>
      <c r="N138" s="584"/>
      <c r="O138" s="736">
        <v>2.3456883601000245</v>
      </c>
      <c r="P138" s="737">
        <v>0.7359752015023171</v>
      </c>
      <c r="Q138" s="738">
        <v>3.0816635616023413</v>
      </c>
      <c r="R138" s="706"/>
      <c r="S138" s="736">
        <v>18.400160839133658</v>
      </c>
      <c r="T138" s="782">
        <v>4.970853232779997</v>
      </c>
    </row>
    <row r="139" spans="1:20" s="709" customFormat="1" ht="15" customHeight="1">
      <c r="A139" s="707"/>
      <c r="B139" s="584"/>
      <c r="C139" s="584"/>
      <c r="D139" s="584"/>
      <c r="E139" s="584"/>
      <c r="F139" s="584"/>
      <c r="G139" s="584"/>
      <c r="H139" s="584"/>
      <c r="I139" s="584"/>
      <c r="J139" s="584"/>
      <c r="K139" s="584"/>
      <c r="L139" s="584"/>
      <c r="M139" s="584"/>
      <c r="N139" s="584"/>
      <c r="O139" s="584"/>
      <c r="P139" s="584"/>
      <c r="Q139" s="584"/>
    </row>
    <row r="140" spans="1:20" s="709" customFormat="1" ht="15" customHeight="1">
      <c r="A140" s="707"/>
      <c r="B140" s="704" t="s">
        <v>482</v>
      </c>
      <c r="C140" s="584"/>
      <c r="D140" s="584"/>
      <c r="E140" s="584"/>
      <c r="F140" s="584"/>
      <c r="G140" s="584"/>
      <c r="H140" s="584"/>
      <c r="I140" s="584"/>
      <c r="J140" s="584"/>
      <c r="K140" s="584"/>
      <c r="L140" s="584"/>
      <c r="M140" s="584"/>
      <c r="N140" s="584"/>
      <c r="O140" s="584"/>
      <c r="P140" s="584"/>
      <c r="Q140" s="584"/>
    </row>
    <row r="141" spans="1:20" s="709" customFormat="1" ht="15" customHeight="1" thickBot="1">
      <c r="A141" s="707"/>
      <c r="B141" s="584"/>
      <c r="C141" s="584"/>
      <c r="E141" s="584"/>
      <c r="F141" s="584"/>
      <c r="G141" s="584"/>
      <c r="H141" s="584"/>
      <c r="I141" s="584"/>
      <c r="J141" s="584"/>
      <c r="K141" s="584"/>
      <c r="L141" s="584"/>
      <c r="M141" s="584"/>
      <c r="N141" s="584"/>
      <c r="O141" s="584"/>
      <c r="P141" s="584"/>
      <c r="Q141" s="584"/>
    </row>
    <row r="142" spans="1:20" s="709" customFormat="1" ht="15" customHeight="1">
      <c r="A142" s="707"/>
      <c r="B142" s="1544" t="s">
        <v>444</v>
      </c>
      <c r="C142" s="1545"/>
      <c r="D142" s="710" t="s">
        <v>445</v>
      </c>
      <c r="E142" s="711"/>
      <c r="F142" s="711"/>
      <c r="G142" s="711"/>
      <c r="H142" s="712"/>
      <c r="I142" s="710" t="s">
        <v>446</v>
      </c>
      <c r="J142" s="711"/>
      <c r="K142" s="711"/>
      <c r="L142" s="711"/>
      <c r="M142" s="712"/>
      <c r="N142" s="584"/>
      <c r="O142" s="119" t="s">
        <v>211</v>
      </c>
      <c r="P142" s="120"/>
      <c r="Q142" s="121"/>
      <c r="R142" s="706"/>
      <c r="S142" s="119" t="s">
        <v>212</v>
      </c>
      <c r="T142" s="121"/>
    </row>
    <row r="143" spans="1:20" s="709" customFormat="1" ht="15" customHeight="1">
      <c r="A143" s="707"/>
      <c r="B143" s="1546"/>
      <c r="C143" s="1547"/>
      <c r="D143" s="713" t="s">
        <v>99</v>
      </c>
      <c r="E143" s="714" t="s">
        <v>100</v>
      </c>
      <c r="F143" s="714" t="s">
        <v>101</v>
      </c>
      <c r="G143" s="714" t="s">
        <v>102</v>
      </c>
      <c r="H143" s="715" t="s">
        <v>64</v>
      </c>
      <c r="I143" s="713" t="s">
        <v>213</v>
      </c>
      <c r="J143" s="714" t="s">
        <v>214</v>
      </c>
      <c r="K143" s="714" t="s">
        <v>215</v>
      </c>
      <c r="L143" s="714" t="s">
        <v>216</v>
      </c>
      <c r="M143" s="715" t="s">
        <v>465</v>
      </c>
      <c r="N143" s="584"/>
      <c r="O143" s="126" t="s">
        <v>218</v>
      </c>
      <c r="P143" s="127" t="s">
        <v>219</v>
      </c>
      <c r="Q143" s="128" t="s">
        <v>220</v>
      </c>
      <c r="R143" s="706"/>
      <c r="S143" s="126" t="s">
        <v>219</v>
      </c>
      <c r="T143" s="128" t="s">
        <v>221</v>
      </c>
    </row>
    <row r="144" spans="1:20" s="709" customFormat="1" ht="15" customHeight="1">
      <c r="A144" s="707"/>
      <c r="B144" s="1548"/>
      <c r="C144" s="1549"/>
      <c r="D144" s="713" t="s">
        <v>223</v>
      </c>
      <c r="E144" s="714" t="s">
        <v>223</v>
      </c>
      <c r="F144" s="714" t="s">
        <v>223</v>
      </c>
      <c r="G144" s="714" t="s">
        <v>223</v>
      </c>
      <c r="H144" s="715" t="s">
        <v>223</v>
      </c>
      <c r="I144" s="713" t="s">
        <v>223</v>
      </c>
      <c r="J144" s="714" t="s">
        <v>223</v>
      </c>
      <c r="K144" s="714" t="s">
        <v>223</v>
      </c>
      <c r="L144" s="714" t="s">
        <v>223</v>
      </c>
      <c r="M144" s="715" t="s">
        <v>223</v>
      </c>
      <c r="N144" s="584"/>
      <c r="O144" s="717"/>
      <c r="P144" s="718"/>
      <c r="Q144" s="719"/>
      <c r="R144" s="706"/>
      <c r="S144" s="720"/>
      <c r="T144" s="721"/>
    </row>
    <row r="145" spans="1:20" s="709" customFormat="1" ht="15" customHeight="1">
      <c r="A145" s="707"/>
      <c r="B145" s="783" t="s">
        <v>483</v>
      </c>
      <c r="C145" s="784" t="s">
        <v>484</v>
      </c>
      <c r="D145" s="785"/>
      <c r="E145" s="584"/>
      <c r="F145" s="584"/>
      <c r="G145" s="584"/>
      <c r="H145" s="786"/>
      <c r="I145" s="787"/>
      <c r="J145" s="584"/>
      <c r="K145" s="584"/>
      <c r="L145" s="584"/>
      <c r="M145" s="786"/>
      <c r="N145" s="584"/>
      <c r="O145" s="787"/>
      <c r="P145" s="584"/>
      <c r="Q145" s="786"/>
      <c r="S145" s="785"/>
      <c r="T145" s="788"/>
    </row>
    <row r="146" spans="1:20" s="709" customFormat="1" ht="15" customHeight="1">
      <c r="A146" s="707"/>
      <c r="B146" s="787"/>
      <c r="C146" s="789" t="s">
        <v>485</v>
      </c>
      <c r="D146" s="790">
        <v>0.2160359756675399</v>
      </c>
      <c r="E146" s="791">
        <v>0.20826191725402829</v>
      </c>
      <c r="F146" s="791">
        <v>0.3</v>
      </c>
      <c r="G146" s="791">
        <v>0.65820871460999997</v>
      </c>
      <c r="H146" s="792">
        <v>0.86861755337969992</v>
      </c>
      <c r="I146" s="790">
        <v>0.43472288151030003</v>
      </c>
      <c r="J146" s="791">
        <v>0.43589981099999997</v>
      </c>
      <c r="K146" s="791">
        <v>0.43589981099999997</v>
      </c>
      <c r="L146" s="791">
        <v>0.43589981099999997</v>
      </c>
      <c r="M146" s="792">
        <v>0.43589981099999997</v>
      </c>
      <c r="N146" s="584"/>
      <c r="O146" s="686">
        <v>1.3825066075315682</v>
      </c>
      <c r="P146" s="687">
        <v>0.86861755337969992</v>
      </c>
      <c r="Q146" s="688">
        <v>2.2511241609112682</v>
      </c>
      <c r="R146" s="706"/>
      <c r="S146" s="686">
        <v>2.1783221255103</v>
      </c>
      <c r="T146" s="772">
        <v>-3.234030208777889E-2</v>
      </c>
    </row>
    <row r="147" spans="1:20" s="709" customFormat="1" ht="15" customHeight="1">
      <c r="A147" s="707"/>
      <c r="B147" s="787"/>
      <c r="C147" s="789" t="s">
        <v>486</v>
      </c>
      <c r="D147" s="572">
        <v>0</v>
      </c>
      <c r="E147" s="573">
        <v>0</v>
      </c>
      <c r="F147" s="573">
        <v>0</v>
      </c>
      <c r="G147" s="573">
        <v>0</v>
      </c>
      <c r="H147" s="574">
        <v>0</v>
      </c>
      <c r="I147" s="572">
        <v>0</v>
      </c>
      <c r="J147" s="573">
        <v>0</v>
      </c>
      <c r="K147" s="573">
        <v>0</v>
      </c>
      <c r="L147" s="573">
        <v>0</v>
      </c>
      <c r="M147" s="574">
        <v>0</v>
      </c>
      <c r="N147" s="584"/>
      <c r="O147" s="686">
        <v>0</v>
      </c>
      <c r="P147" s="687">
        <v>0</v>
      </c>
      <c r="Q147" s="688">
        <v>0</v>
      </c>
      <c r="R147" s="706"/>
      <c r="S147" s="686">
        <v>0</v>
      </c>
      <c r="T147" s="772" t="s">
        <v>1018</v>
      </c>
    </row>
    <row r="148" spans="1:20" s="709" customFormat="1" ht="15" customHeight="1">
      <c r="A148" s="707"/>
      <c r="B148" s="787"/>
      <c r="C148" s="793"/>
      <c r="D148" s="572">
        <v>0</v>
      </c>
      <c r="E148" s="573">
        <v>0</v>
      </c>
      <c r="F148" s="573">
        <v>0</v>
      </c>
      <c r="G148" s="573">
        <v>0</v>
      </c>
      <c r="H148" s="574">
        <v>0</v>
      </c>
      <c r="I148" s="572">
        <v>0</v>
      </c>
      <c r="J148" s="573">
        <v>0</v>
      </c>
      <c r="K148" s="573">
        <v>0</v>
      </c>
      <c r="L148" s="573">
        <v>0</v>
      </c>
      <c r="M148" s="574">
        <v>0</v>
      </c>
      <c r="N148" s="584"/>
      <c r="O148" s="686">
        <v>0</v>
      </c>
      <c r="P148" s="687">
        <v>0</v>
      </c>
      <c r="Q148" s="688">
        <v>0</v>
      </c>
      <c r="R148" s="706"/>
      <c r="S148" s="686">
        <v>0</v>
      </c>
      <c r="T148" s="772" t="s">
        <v>1018</v>
      </c>
    </row>
    <row r="149" spans="1:20" s="709" customFormat="1" ht="15" customHeight="1">
      <c r="A149" s="707"/>
      <c r="B149" s="787"/>
      <c r="C149" s="784"/>
      <c r="D149" s="785"/>
      <c r="E149" s="584"/>
      <c r="F149" s="584"/>
      <c r="G149" s="584"/>
      <c r="H149" s="786"/>
      <c r="I149" s="787"/>
      <c r="J149" s="584"/>
      <c r="K149" s="584"/>
      <c r="L149" s="584"/>
      <c r="M149" s="786"/>
      <c r="N149" s="584"/>
      <c r="O149" s="794"/>
      <c r="P149" s="795"/>
      <c r="Q149" s="796"/>
      <c r="R149" s="797"/>
      <c r="S149" s="794"/>
      <c r="T149" s="798"/>
    </row>
    <row r="150" spans="1:20" s="709" customFormat="1" ht="15" customHeight="1">
      <c r="A150" s="707"/>
      <c r="B150" s="787"/>
      <c r="C150" s="784" t="s">
        <v>487</v>
      </c>
      <c r="D150" s="785"/>
      <c r="E150" s="584"/>
      <c r="F150" s="584"/>
      <c r="G150" s="584"/>
      <c r="H150" s="786"/>
      <c r="I150" s="787"/>
      <c r="J150" s="584"/>
      <c r="K150" s="584"/>
      <c r="L150" s="584"/>
      <c r="M150" s="786"/>
      <c r="N150" s="584"/>
      <c r="O150" s="794"/>
      <c r="P150" s="795"/>
      <c r="Q150" s="796"/>
      <c r="R150" s="797"/>
      <c r="S150" s="794"/>
      <c r="T150" s="798"/>
    </row>
    <row r="151" spans="1:20" s="709" customFormat="1" ht="15" customHeight="1">
      <c r="A151" s="707"/>
      <c r="B151" s="787"/>
      <c r="C151" s="789" t="s">
        <v>485</v>
      </c>
      <c r="D151" s="790">
        <v>2.3763957323429388</v>
      </c>
      <c r="E151" s="791">
        <v>2.6032739656753536</v>
      </c>
      <c r="F151" s="791">
        <v>2.6</v>
      </c>
      <c r="G151" s="791">
        <v>1.2476173706127287</v>
      </c>
      <c r="H151" s="792">
        <v>1.1536966035835814</v>
      </c>
      <c r="I151" s="790">
        <v>1.1057447289565734</v>
      </c>
      <c r="J151" s="791">
        <v>1.108738322427127</v>
      </c>
      <c r="K151" s="791">
        <v>1.0252108982748365</v>
      </c>
      <c r="L151" s="791">
        <v>0.77271690660321246</v>
      </c>
      <c r="M151" s="792">
        <v>0.76712880428316477</v>
      </c>
      <c r="N151" s="584"/>
      <c r="O151" s="686">
        <v>8.827287068631021</v>
      </c>
      <c r="P151" s="687">
        <v>1.1536966035835814</v>
      </c>
      <c r="Q151" s="688">
        <v>9.9809836722146024</v>
      </c>
      <c r="R151" s="706"/>
      <c r="S151" s="686">
        <v>4.7795396605449136</v>
      </c>
      <c r="T151" s="772">
        <v>-0.52113540934343405</v>
      </c>
    </row>
    <row r="152" spans="1:20" s="709" customFormat="1" ht="15" customHeight="1">
      <c r="A152" s="707"/>
      <c r="B152" s="787"/>
      <c r="C152" s="789" t="s">
        <v>486</v>
      </c>
      <c r="D152" s="572">
        <v>0</v>
      </c>
      <c r="E152" s="573">
        <v>0</v>
      </c>
      <c r="F152" s="573">
        <v>0</v>
      </c>
      <c r="G152" s="573">
        <v>0.9558596073765615</v>
      </c>
      <c r="H152" s="574">
        <v>0.92321332540154666</v>
      </c>
      <c r="I152" s="572">
        <v>1.55640049708507</v>
      </c>
      <c r="J152" s="573">
        <v>1.0705259964306961</v>
      </c>
      <c r="K152" s="573">
        <v>0.79104735276621052</v>
      </c>
      <c r="L152" s="573">
        <v>0.7509012492563949</v>
      </c>
      <c r="M152" s="574">
        <v>0.74262938726948247</v>
      </c>
      <c r="N152" s="584"/>
      <c r="O152" s="686">
        <v>0.9558596073765615</v>
      </c>
      <c r="P152" s="687">
        <v>0.92321332540154666</v>
      </c>
      <c r="Q152" s="688">
        <v>1.8790729327781082</v>
      </c>
      <c r="R152" s="706"/>
      <c r="S152" s="686">
        <v>4.911504482807854</v>
      </c>
      <c r="T152" s="772">
        <v>1.6137912994928085</v>
      </c>
    </row>
    <row r="153" spans="1:20" s="709" customFormat="1" ht="15" customHeight="1" thickBot="1">
      <c r="A153" s="707"/>
      <c r="B153" s="799"/>
      <c r="C153" s="800"/>
      <c r="D153" s="593">
        <v>0</v>
      </c>
      <c r="E153" s="594">
        <v>0</v>
      </c>
      <c r="F153" s="594">
        <v>0</v>
      </c>
      <c r="G153" s="594">
        <v>0</v>
      </c>
      <c r="H153" s="801">
        <v>0</v>
      </c>
      <c r="I153" s="593">
        <v>0</v>
      </c>
      <c r="J153" s="594">
        <v>0</v>
      </c>
      <c r="K153" s="594">
        <v>0</v>
      </c>
      <c r="L153" s="594">
        <v>0</v>
      </c>
      <c r="M153" s="801">
        <v>0</v>
      </c>
      <c r="N153" s="584"/>
      <c r="O153" s="736">
        <v>0</v>
      </c>
      <c r="P153" s="737">
        <v>0</v>
      </c>
      <c r="Q153" s="738">
        <v>0</v>
      </c>
      <c r="R153" s="706"/>
      <c r="S153" s="736">
        <v>0</v>
      </c>
      <c r="T153" s="782" t="s">
        <v>1018</v>
      </c>
    </row>
    <row r="154" spans="1:20" s="803" customFormat="1" ht="15" customHeight="1">
      <c r="A154" s="802"/>
      <c r="B154" s="584"/>
      <c r="E154" s="584"/>
      <c r="F154" s="584"/>
      <c r="G154" s="584"/>
      <c r="H154" s="584"/>
      <c r="I154" s="584"/>
      <c r="J154" s="584"/>
      <c r="K154" s="584"/>
      <c r="L154" s="584"/>
      <c r="M154" s="584"/>
      <c r="N154" s="584"/>
      <c r="O154" s="584"/>
      <c r="P154" s="584"/>
      <c r="Q154" s="584"/>
    </row>
    <row r="155" spans="1:20" s="803" customFormat="1" ht="15" customHeight="1">
      <c r="A155" s="802"/>
      <c r="B155" s="584"/>
      <c r="C155" s="584"/>
      <c r="E155" s="584"/>
      <c r="F155" s="584"/>
      <c r="G155" s="584"/>
      <c r="H155" s="584"/>
      <c r="I155" s="584"/>
      <c r="J155" s="584"/>
      <c r="K155" s="584"/>
      <c r="L155" s="584"/>
      <c r="M155" s="584"/>
      <c r="N155" s="584"/>
      <c r="O155" s="584"/>
      <c r="P155" s="584"/>
      <c r="Q155" s="584"/>
    </row>
    <row r="156" spans="1:20" s="803" customFormat="1" ht="15" customHeight="1">
      <c r="A156" s="802"/>
      <c r="B156" s="584"/>
      <c r="C156" s="584"/>
      <c r="E156" s="584"/>
      <c r="F156" s="584"/>
      <c r="G156" s="584"/>
      <c r="H156" s="584"/>
      <c r="I156" s="584"/>
      <c r="J156" s="584"/>
      <c r="K156" s="584"/>
      <c r="L156" s="584"/>
      <c r="M156" s="584"/>
      <c r="N156" s="584"/>
      <c r="O156" s="584"/>
      <c r="P156" s="584"/>
      <c r="Q156" s="584"/>
    </row>
    <row r="157" spans="1:20" s="803" customFormat="1" ht="15" customHeight="1">
      <c r="A157" s="802"/>
      <c r="B157" s="584"/>
      <c r="C157" s="584"/>
      <c r="E157" s="584"/>
      <c r="F157" s="584"/>
      <c r="G157" s="584"/>
      <c r="H157" s="584"/>
      <c r="I157" s="584"/>
      <c r="J157" s="584"/>
      <c r="K157" s="584"/>
      <c r="L157" s="584"/>
      <c r="M157" s="584"/>
      <c r="N157" s="584"/>
      <c r="O157" s="584"/>
      <c r="P157" s="584"/>
      <c r="Q157" s="584"/>
    </row>
    <row r="158" spans="1:20" s="803" customFormat="1" ht="15" customHeight="1">
      <c r="A158" s="802"/>
      <c r="B158" s="584"/>
      <c r="C158" s="584"/>
      <c r="E158" s="584"/>
      <c r="F158" s="584"/>
      <c r="G158" s="584"/>
      <c r="H158" s="584"/>
      <c r="I158" s="584"/>
      <c r="J158" s="584"/>
      <c r="K158" s="584"/>
      <c r="L158" s="584"/>
      <c r="M158" s="584"/>
      <c r="N158" s="584"/>
      <c r="O158" s="584"/>
      <c r="P158" s="584"/>
      <c r="Q158" s="584"/>
    </row>
    <row r="159" spans="1:20" s="803" customFormat="1" ht="15" customHeight="1">
      <c r="A159" s="802"/>
      <c r="B159" s="584"/>
      <c r="C159" s="584"/>
      <c r="E159" s="584"/>
      <c r="F159" s="584"/>
      <c r="G159" s="584"/>
      <c r="H159" s="584"/>
      <c r="I159" s="584"/>
      <c r="J159" s="584"/>
      <c r="K159" s="584"/>
      <c r="L159" s="584"/>
      <c r="M159" s="584"/>
      <c r="N159" s="584"/>
      <c r="O159" s="584"/>
      <c r="P159" s="584"/>
      <c r="Q159" s="584"/>
    </row>
    <row r="160" spans="1:20" s="803" customFormat="1" ht="15" customHeight="1">
      <c r="A160" s="802"/>
      <c r="B160" s="584"/>
      <c r="C160" s="584"/>
      <c r="E160" s="584"/>
      <c r="F160" s="584"/>
      <c r="G160" s="584"/>
      <c r="H160" s="584"/>
      <c r="I160" s="584"/>
      <c r="J160" s="584"/>
      <c r="K160" s="584"/>
      <c r="L160" s="584"/>
      <c r="M160" s="584"/>
      <c r="N160" s="584"/>
      <c r="O160" s="584"/>
      <c r="P160" s="584"/>
      <c r="Q160" s="584"/>
    </row>
    <row r="161" spans="1:17" s="803" customFormat="1" ht="15" customHeight="1">
      <c r="A161" s="802"/>
      <c r="B161" s="584"/>
      <c r="C161" s="584"/>
      <c r="E161" s="584"/>
      <c r="F161" s="584"/>
      <c r="G161" s="584"/>
      <c r="H161" s="584"/>
      <c r="I161" s="584"/>
      <c r="J161" s="584"/>
      <c r="K161" s="584"/>
      <c r="L161" s="584"/>
      <c r="M161" s="584"/>
      <c r="N161" s="584"/>
      <c r="O161" s="584"/>
      <c r="P161" s="584"/>
      <c r="Q161" s="584"/>
    </row>
    <row r="162" spans="1:17" s="803" customFormat="1" ht="15" customHeight="1">
      <c r="A162" s="802"/>
      <c r="B162" s="584"/>
      <c r="C162" s="584"/>
      <c r="E162" s="584"/>
      <c r="F162" s="584"/>
      <c r="G162" s="584"/>
      <c r="H162" s="584"/>
      <c r="I162" s="584"/>
      <c r="J162" s="584"/>
      <c r="K162" s="584"/>
      <c r="L162" s="584"/>
      <c r="M162" s="584"/>
      <c r="N162" s="584"/>
      <c r="O162" s="584"/>
      <c r="P162" s="584"/>
      <c r="Q162" s="584"/>
    </row>
    <row r="163" spans="1:17" s="803" customFormat="1" ht="15" customHeight="1">
      <c r="A163" s="802"/>
      <c r="B163" s="584"/>
      <c r="C163" s="584"/>
      <c r="E163" s="584"/>
      <c r="F163" s="584"/>
      <c r="G163" s="584"/>
      <c r="H163" s="584"/>
      <c r="I163" s="584"/>
      <c r="J163" s="584"/>
      <c r="K163" s="584"/>
      <c r="L163" s="584"/>
      <c r="M163" s="584"/>
      <c r="N163" s="584"/>
      <c r="O163" s="584"/>
      <c r="P163" s="584"/>
      <c r="Q163" s="584"/>
    </row>
    <row r="164" spans="1:17" s="803" customFormat="1" ht="15" customHeight="1">
      <c r="A164" s="802"/>
      <c r="B164" s="584"/>
      <c r="C164" s="584"/>
      <c r="E164" s="584"/>
      <c r="F164" s="584"/>
      <c r="G164" s="584"/>
      <c r="H164" s="584"/>
      <c r="I164" s="584"/>
      <c r="J164" s="584"/>
      <c r="K164" s="584"/>
      <c r="L164" s="584"/>
      <c r="M164" s="584"/>
      <c r="N164" s="584"/>
      <c r="O164" s="584"/>
      <c r="P164" s="584"/>
      <c r="Q164" s="584"/>
    </row>
    <row r="165" spans="1:17" s="803" customFormat="1" ht="15" customHeight="1">
      <c r="A165" s="802"/>
      <c r="B165" s="584"/>
      <c r="C165" s="584"/>
      <c r="E165" s="584"/>
      <c r="F165" s="584"/>
      <c r="G165" s="584"/>
      <c r="H165" s="584"/>
      <c r="I165" s="584"/>
      <c r="J165" s="584"/>
      <c r="K165" s="584"/>
      <c r="L165" s="584"/>
      <c r="M165" s="584"/>
      <c r="N165" s="584"/>
      <c r="O165" s="584"/>
      <c r="P165" s="584"/>
      <c r="Q165" s="584"/>
    </row>
    <row r="166" spans="1:17" s="803" customFormat="1" ht="15" customHeight="1">
      <c r="A166" s="802"/>
      <c r="B166" s="584"/>
      <c r="C166" s="584"/>
      <c r="E166" s="584"/>
      <c r="F166" s="584"/>
      <c r="G166" s="584"/>
      <c r="H166" s="584"/>
      <c r="I166" s="584"/>
      <c r="J166" s="584"/>
      <c r="K166" s="584"/>
      <c r="L166" s="584"/>
      <c r="M166" s="584"/>
      <c r="N166" s="584"/>
      <c r="O166" s="584"/>
      <c r="P166" s="584"/>
      <c r="Q166" s="584"/>
    </row>
    <row r="167" spans="1:17" s="803" customFormat="1" ht="15" customHeight="1">
      <c r="A167" s="802"/>
      <c r="B167" s="584"/>
      <c r="C167" s="584"/>
      <c r="E167" s="584"/>
      <c r="F167" s="584"/>
      <c r="G167" s="584"/>
      <c r="H167" s="584"/>
      <c r="I167" s="584"/>
      <c r="J167" s="584"/>
      <c r="K167" s="584"/>
      <c r="L167" s="584"/>
      <c r="M167" s="584"/>
      <c r="N167" s="584"/>
      <c r="O167" s="584"/>
      <c r="P167" s="584"/>
      <c r="Q167" s="584"/>
    </row>
    <row r="168" spans="1:17" s="803" customFormat="1" ht="15" customHeight="1">
      <c r="A168" s="802"/>
      <c r="B168" s="584"/>
      <c r="C168" s="584"/>
      <c r="E168" s="584"/>
      <c r="F168" s="584"/>
      <c r="G168" s="584"/>
      <c r="H168" s="584"/>
      <c r="I168" s="584"/>
      <c r="J168" s="584"/>
      <c r="K168" s="584"/>
      <c r="L168" s="584"/>
      <c r="M168" s="584"/>
      <c r="N168" s="584"/>
      <c r="O168" s="584"/>
      <c r="P168" s="584"/>
      <c r="Q168" s="584"/>
    </row>
    <row r="169" spans="1:17" s="803" customFormat="1" ht="15" customHeight="1">
      <c r="A169" s="802"/>
      <c r="B169" s="584"/>
      <c r="C169" s="584"/>
      <c r="E169" s="584"/>
      <c r="F169" s="584"/>
      <c r="G169" s="584"/>
      <c r="H169" s="584"/>
      <c r="I169" s="584"/>
      <c r="J169" s="584"/>
      <c r="K169" s="584"/>
      <c r="L169" s="584"/>
      <c r="M169" s="584"/>
      <c r="N169" s="584"/>
      <c r="O169" s="584"/>
      <c r="P169" s="584"/>
      <c r="Q169" s="584"/>
    </row>
    <row r="170" spans="1:17" s="803" customFormat="1" ht="15" customHeight="1">
      <c r="A170" s="802"/>
      <c r="B170" s="584"/>
      <c r="C170" s="584"/>
      <c r="E170" s="584"/>
      <c r="F170" s="584"/>
      <c r="G170" s="584"/>
      <c r="H170" s="584"/>
      <c r="I170" s="584"/>
      <c r="J170" s="584"/>
      <c r="K170" s="584"/>
      <c r="L170" s="584"/>
      <c r="M170" s="584"/>
      <c r="N170" s="584"/>
      <c r="O170" s="584"/>
      <c r="P170" s="584"/>
      <c r="Q170" s="584"/>
    </row>
    <row r="171" spans="1:17" s="803" customFormat="1" ht="15" customHeight="1">
      <c r="A171" s="802"/>
      <c r="B171" s="584"/>
      <c r="C171" s="584"/>
      <c r="E171" s="584"/>
      <c r="F171" s="584"/>
      <c r="G171" s="584"/>
      <c r="H171" s="584"/>
      <c r="I171" s="584"/>
      <c r="J171" s="584"/>
      <c r="K171" s="584"/>
      <c r="L171" s="584"/>
      <c r="M171" s="584"/>
      <c r="N171" s="584"/>
      <c r="O171" s="584"/>
      <c r="P171" s="584"/>
      <c r="Q171" s="584"/>
    </row>
    <row r="172" spans="1:17" s="803" customFormat="1" ht="15" customHeight="1">
      <c r="A172" s="802"/>
      <c r="B172" s="584"/>
      <c r="C172" s="584"/>
      <c r="E172" s="584"/>
      <c r="F172" s="584"/>
      <c r="G172" s="584"/>
      <c r="H172" s="584"/>
      <c r="I172" s="584"/>
      <c r="J172" s="584"/>
      <c r="K172" s="584"/>
      <c r="L172" s="584"/>
      <c r="M172" s="584"/>
      <c r="N172" s="584"/>
      <c r="O172" s="584"/>
      <c r="P172" s="584"/>
      <c r="Q172" s="584"/>
    </row>
    <row r="173" spans="1:17" s="803" customFormat="1" ht="15" customHeight="1">
      <c r="A173" s="802"/>
      <c r="B173" s="584"/>
      <c r="C173" s="584"/>
      <c r="E173" s="584"/>
      <c r="F173" s="584"/>
      <c r="G173" s="584"/>
      <c r="H173" s="584"/>
      <c r="I173" s="584"/>
      <c r="J173" s="584"/>
      <c r="K173" s="584"/>
      <c r="L173" s="584"/>
      <c r="M173" s="584"/>
      <c r="N173" s="584"/>
      <c r="O173" s="584"/>
      <c r="P173" s="584"/>
      <c r="Q173" s="584"/>
    </row>
    <row r="174" spans="1:17" s="803" customFormat="1" ht="15" customHeight="1">
      <c r="A174" s="802"/>
      <c r="B174" s="584"/>
      <c r="C174" s="584"/>
      <c r="E174" s="584"/>
      <c r="F174" s="584"/>
      <c r="G174" s="584"/>
      <c r="H174" s="584"/>
      <c r="I174" s="584"/>
      <c r="J174" s="584"/>
      <c r="K174" s="584"/>
      <c r="L174" s="584"/>
      <c r="M174" s="584"/>
      <c r="N174" s="584"/>
      <c r="O174" s="584"/>
      <c r="P174" s="584"/>
      <c r="Q174" s="584"/>
    </row>
    <row r="175" spans="1:17" s="803" customFormat="1" ht="15" customHeight="1">
      <c r="A175" s="802"/>
      <c r="B175" s="584"/>
      <c r="C175" s="584"/>
      <c r="E175" s="584"/>
      <c r="F175" s="584"/>
      <c r="G175" s="584"/>
      <c r="H175" s="584"/>
      <c r="I175" s="584"/>
      <c r="J175" s="584"/>
      <c r="K175" s="584"/>
      <c r="L175" s="584"/>
      <c r="M175" s="584"/>
      <c r="N175" s="584"/>
      <c r="O175" s="584"/>
      <c r="P175" s="584"/>
      <c r="Q175" s="584"/>
    </row>
    <row r="176" spans="1:17" s="803" customFormat="1" ht="15" customHeight="1">
      <c r="A176" s="802"/>
      <c r="B176" s="584"/>
      <c r="C176" s="584"/>
      <c r="E176" s="584"/>
      <c r="F176" s="584"/>
      <c r="G176" s="584"/>
      <c r="H176" s="584"/>
      <c r="I176" s="584"/>
      <c r="J176" s="584"/>
      <c r="K176" s="584"/>
      <c r="L176" s="584"/>
      <c r="M176" s="584"/>
      <c r="N176" s="584"/>
      <c r="O176" s="584"/>
      <c r="P176" s="584"/>
      <c r="Q176" s="584"/>
    </row>
    <row r="177" spans="1:23" s="803" customFormat="1" ht="15" customHeight="1">
      <c r="A177" s="802"/>
      <c r="B177" s="584"/>
      <c r="C177" s="584"/>
      <c r="E177" s="584"/>
      <c r="F177" s="584"/>
      <c r="G177" s="584"/>
      <c r="H177" s="584"/>
      <c r="I177" s="584"/>
      <c r="J177" s="584"/>
      <c r="K177" s="584"/>
      <c r="L177" s="584"/>
      <c r="M177" s="584"/>
      <c r="N177" s="584"/>
      <c r="O177" s="584"/>
      <c r="P177" s="584"/>
      <c r="Q177" s="584"/>
    </row>
    <row r="178" spans="1:23" s="803" customFormat="1" ht="15" customHeight="1">
      <c r="A178" s="802"/>
      <c r="B178" s="584"/>
      <c r="C178" s="584"/>
      <c r="E178" s="584"/>
      <c r="F178" s="584"/>
      <c r="G178" s="584"/>
      <c r="H178" s="584"/>
      <c r="I178" s="584"/>
      <c r="J178" s="584"/>
      <c r="K178" s="584"/>
      <c r="L178" s="584"/>
      <c r="M178" s="584"/>
      <c r="N178" s="584"/>
      <c r="O178" s="584"/>
      <c r="P178" s="584"/>
      <c r="Q178" s="584"/>
    </row>
    <row r="179" spans="1:23" s="803" customFormat="1" ht="15" customHeight="1">
      <c r="A179" s="802"/>
      <c r="B179" s="584"/>
      <c r="C179" s="584"/>
      <c r="E179" s="584"/>
      <c r="F179" s="584"/>
      <c r="G179" s="584"/>
      <c r="H179" s="584"/>
      <c r="I179" s="584"/>
      <c r="J179" s="584"/>
      <c r="K179" s="584"/>
      <c r="L179" s="584"/>
      <c r="M179" s="584"/>
      <c r="N179" s="584"/>
      <c r="O179" s="584"/>
      <c r="P179" s="584"/>
      <c r="Q179" s="584"/>
    </row>
    <row r="180" spans="1:23" s="803" customFormat="1" ht="15" customHeight="1">
      <c r="A180" s="802"/>
      <c r="B180" s="584"/>
      <c r="C180" s="584"/>
      <c r="E180" s="584"/>
      <c r="F180" s="584"/>
      <c r="G180" s="584"/>
      <c r="H180" s="584"/>
      <c r="I180" s="584"/>
      <c r="J180" s="584"/>
      <c r="K180" s="584"/>
      <c r="L180" s="584"/>
      <c r="M180" s="584"/>
      <c r="N180" s="584"/>
      <c r="O180" s="584"/>
      <c r="P180" s="584"/>
      <c r="Q180" s="584"/>
    </row>
    <row r="181" spans="1:23" s="803" customFormat="1" ht="15" customHeight="1">
      <c r="A181" s="802"/>
      <c r="B181" s="584"/>
      <c r="C181" s="584"/>
      <c r="E181" s="584"/>
      <c r="F181" s="584"/>
      <c r="G181" s="584"/>
      <c r="H181" s="584"/>
      <c r="I181" s="584"/>
      <c r="J181" s="584"/>
      <c r="K181" s="584"/>
      <c r="L181" s="584"/>
      <c r="M181" s="584"/>
      <c r="N181" s="584"/>
      <c r="O181" s="584"/>
      <c r="P181" s="584"/>
      <c r="Q181" s="584"/>
    </row>
    <row r="182" spans="1:23" s="803" customFormat="1" ht="15" customHeight="1">
      <c r="A182" s="802"/>
      <c r="B182" s="584"/>
      <c r="C182" s="584"/>
      <c r="E182" s="584"/>
      <c r="F182" s="584"/>
      <c r="G182" s="584"/>
      <c r="H182" s="584"/>
      <c r="I182" s="584"/>
      <c r="J182" s="584"/>
      <c r="K182" s="584"/>
      <c r="L182" s="584"/>
      <c r="M182" s="584"/>
      <c r="N182" s="584"/>
      <c r="O182" s="584"/>
      <c r="P182" s="584"/>
      <c r="Q182" s="584"/>
    </row>
    <row r="183" spans="1:23" s="803" customFormat="1" ht="15" customHeight="1">
      <c r="A183" s="802"/>
      <c r="B183" s="584"/>
      <c r="C183" s="584"/>
      <c r="E183" s="584"/>
      <c r="F183" s="584"/>
      <c r="G183" s="584"/>
      <c r="H183" s="584"/>
      <c r="I183" s="584"/>
      <c r="J183" s="584"/>
      <c r="K183" s="584"/>
      <c r="L183" s="584"/>
      <c r="M183" s="584"/>
      <c r="N183" s="584"/>
      <c r="O183" s="584"/>
      <c r="P183" s="584"/>
      <c r="Q183" s="584"/>
    </row>
    <row r="184" spans="1:23" ht="15" customHeight="1">
      <c r="B184" s="805"/>
      <c r="C184" s="805"/>
      <c r="E184" s="805"/>
      <c r="F184" s="805"/>
      <c r="G184" s="805"/>
      <c r="H184" s="805"/>
      <c r="I184" s="805"/>
      <c r="J184" s="805"/>
      <c r="K184" s="805"/>
      <c r="L184" s="805"/>
      <c r="M184" s="805"/>
      <c r="N184" s="805"/>
      <c r="O184" s="805"/>
      <c r="P184" s="805"/>
      <c r="Q184" s="805"/>
      <c r="R184" s="806"/>
      <c r="S184" s="806"/>
      <c r="T184" s="806"/>
      <c r="U184" s="806"/>
      <c r="V184" s="806"/>
      <c r="W184" s="806"/>
    </row>
    <row r="185" spans="1:23" ht="15" customHeight="1">
      <c r="B185" s="805"/>
      <c r="C185" s="805"/>
      <c r="E185" s="805"/>
      <c r="F185" s="805"/>
      <c r="G185" s="805"/>
      <c r="H185" s="805"/>
      <c r="I185" s="805"/>
      <c r="J185" s="805"/>
      <c r="K185" s="805"/>
      <c r="L185" s="805"/>
      <c r="M185" s="805"/>
    </row>
    <row r="186" spans="1:23">
      <c r="B186" s="805"/>
      <c r="C186" s="805"/>
      <c r="E186" s="805"/>
      <c r="F186" s="805"/>
      <c r="G186" s="805"/>
      <c r="H186" s="805"/>
      <c r="I186" s="805"/>
      <c r="J186" s="805"/>
      <c r="K186" s="805"/>
      <c r="L186" s="805"/>
      <c r="M186" s="805"/>
    </row>
    <row r="187" spans="1:23">
      <c r="B187" s="805"/>
      <c r="C187" s="805"/>
      <c r="E187" s="805"/>
      <c r="F187" s="805"/>
      <c r="G187" s="805"/>
      <c r="H187" s="805"/>
      <c r="I187" s="805"/>
      <c r="J187" s="805"/>
      <c r="K187" s="805"/>
      <c r="L187" s="805"/>
      <c r="M187" s="805"/>
    </row>
  </sheetData>
  <mergeCells count="29">
    <mergeCell ref="B121:B124"/>
    <mergeCell ref="B125:B128"/>
    <mergeCell ref="B130:B133"/>
    <mergeCell ref="B134:B137"/>
    <mergeCell ref="B142:C144"/>
    <mergeCell ref="B115:B120"/>
    <mergeCell ref="B56:B61"/>
    <mergeCell ref="B62:B67"/>
    <mergeCell ref="B73:C75"/>
    <mergeCell ref="B76:B77"/>
    <mergeCell ref="B78:B79"/>
    <mergeCell ref="B80:B82"/>
    <mergeCell ref="B83:B88"/>
    <mergeCell ref="B89:B94"/>
    <mergeCell ref="B95:B100"/>
    <mergeCell ref="B106:C108"/>
    <mergeCell ref="B109:B114"/>
    <mergeCell ref="B50:B55"/>
    <mergeCell ref="B7:C9"/>
    <mergeCell ref="B10:B11"/>
    <mergeCell ref="B12:B13"/>
    <mergeCell ref="B14:B16"/>
    <mergeCell ref="B17:B22"/>
    <mergeCell ref="B23:B28"/>
    <mergeCell ref="B29:B34"/>
    <mergeCell ref="B40:C42"/>
    <mergeCell ref="B43:B44"/>
    <mergeCell ref="B45:B46"/>
    <mergeCell ref="B47:B49"/>
  </mergeCells>
  <phoneticPr fontId="1"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lpstr>CDCM discounts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Howe, Pamela</dc:creator>
  <cp:lastModifiedBy>Howe, Pamela</cp:lastModifiedBy>
  <cp:lastPrinted>2014-06-02T18:49:43Z</cp:lastPrinted>
  <dcterms:created xsi:type="dcterms:W3CDTF">2014-06-02T13:43:59Z</dcterms:created>
  <dcterms:modified xsi:type="dcterms:W3CDTF">2015-12-21T10:51:46Z</dcterms:modified>
</cp:coreProperties>
</file>